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jon/Desktop/WEB FINANCIALS/"/>
    </mc:Choice>
  </mc:AlternateContent>
  <xr:revisionPtr revIDLastSave="0" documentId="13_ncr:1_{E0F2F38D-EBD4-404C-8A65-B49755965F7C}" xr6:coauthVersionLast="47" xr6:coauthVersionMax="47" xr10:uidLastSave="{00000000-0000-0000-0000-000000000000}"/>
  <bookViews>
    <workbookView xWindow="0" yWindow="0" windowWidth="33600" windowHeight="19480" xr2:uid="{00000000-000D-0000-FFFF-FFFF00000000}"/>
  </bookViews>
  <sheets>
    <sheet name="Overview" sheetId="1" r:id="rId1"/>
    <sheet name="Annual CFs" sheetId="2" r:id="rId2"/>
    <sheet name="Sensitivities" sheetId="3" r:id="rId3"/>
    <sheet name="Index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27" i="3"/>
  <c r="C26" i="3" s="1"/>
  <c r="C25" i="3" s="1"/>
  <c r="C17" i="3"/>
  <c r="C37" i="3" s="1"/>
  <c r="C47" i="3" s="1"/>
  <c r="F14" i="3"/>
  <c r="G14" i="3" s="1"/>
  <c r="F8" i="3"/>
  <c r="J6" i="3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F6" i="3"/>
  <c r="D41" i="2" s="1"/>
  <c r="D65" i="2"/>
  <c r="D62" i="2"/>
  <c r="D59" i="2"/>
  <c r="E44" i="2"/>
  <c r="D43" i="2"/>
  <c r="E42" i="2"/>
  <c r="E34" i="2"/>
  <c r="E16" i="2"/>
  <c r="G12" i="2"/>
  <c r="F12" i="2"/>
  <c r="E12" i="2"/>
  <c r="F10" i="2"/>
  <c r="F9" i="2"/>
  <c r="G9" i="2" s="1"/>
  <c r="H9" i="2" s="1"/>
  <c r="I9" i="2" s="1"/>
  <c r="J9" i="2" s="1"/>
  <c r="K9" i="2" s="1"/>
  <c r="L9" i="2" s="1"/>
  <c r="M9" i="2" s="1"/>
  <c r="N9" i="2" s="1"/>
  <c r="O9" i="2" s="1"/>
  <c r="B6" i="2"/>
  <c r="D45" i="2"/>
  <c r="L27" i="1"/>
  <c r="D44" i="2"/>
  <c r="E25" i="1"/>
  <c r="D42" i="2" s="1"/>
  <c r="M24" i="1"/>
  <c r="E31" i="2" s="1"/>
  <c r="F31" i="2" s="1"/>
  <c r="M23" i="1"/>
  <c r="E30" i="2" s="1"/>
  <c r="F30" i="2" s="1"/>
  <c r="M22" i="1"/>
  <c r="F19" i="1"/>
  <c r="F4" i="3" s="1"/>
  <c r="M9" i="1" s="1"/>
  <c r="F18" i="1"/>
  <c r="E18" i="1"/>
  <c r="D18" i="1"/>
  <c r="C18" i="1"/>
  <c r="L16" i="1"/>
  <c r="M16" i="1" s="1"/>
  <c r="E23" i="2" s="1"/>
  <c r="F23" i="2" s="1"/>
  <c r="B16" i="1"/>
  <c r="B15" i="1"/>
  <c r="B14" i="1"/>
  <c r="B13" i="1"/>
  <c r="L10" i="1"/>
  <c r="F16" i="2" l="1"/>
  <c r="G16" i="2" s="1"/>
  <c r="H16" i="2" s="1"/>
  <c r="I16" i="2" s="1"/>
  <c r="J16" i="2" s="1"/>
  <c r="K16" i="2" s="1"/>
  <c r="L16" i="2" s="1"/>
  <c r="M16" i="2" s="1"/>
  <c r="N16" i="2" s="1"/>
  <c r="O16" i="2" s="1"/>
  <c r="E33" i="1"/>
  <c r="E34" i="1" s="1"/>
  <c r="M32" i="1" s="1"/>
  <c r="L32" i="1" s="1"/>
  <c r="M26" i="1"/>
  <c r="M25" i="1"/>
  <c r="E15" i="2"/>
  <c r="L9" i="1"/>
  <c r="L11" i="1" s="1"/>
  <c r="M14" i="1"/>
  <c r="M11" i="1"/>
  <c r="E29" i="2"/>
  <c r="D46" i="2"/>
  <c r="D53" i="2" s="1"/>
  <c r="F62" i="2"/>
  <c r="F60" i="2"/>
  <c r="F66" i="2" s="1"/>
  <c r="F44" i="2"/>
  <c r="F42" i="2"/>
  <c r="F45" i="2"/>
  <c r="F43" i="2"/>
  <c r="F41" i="2"/>
  <c r="F49" i="2"/>
  <c r="G45" i="2"/>
  <c r="G43" i="2"/>
  <c r="G41" i="2"/>
  <c r="G49" i="2"/>
  <c r="H12" i="2"/>
  <c r="G62" i="2"/>
  <c r="G60" i="2"/>
  <c r="G66" i="2" s="1"/>
  <c r="G44" i="2"/>
  <c r="G42" i="2"/>
  <c r="G34" i="3"/>
  <c r="G44" i="3" s="1"/>
  <c r="G24" i="3" s="1"/>
  <c r="H14" i="3"/>
  <c r="H34" i="3" s="1"/>
  <c r="H44" i="3" s="1"/>
  <c r="H24" i="3" s="1"/>
  <c r="G10" i="2"/>
  <c r="H10" i="2" s="1"/>
  <c r="I10" i="2" s="1"/>
  <c r="J10" i="2" s="1"/>
  <c r="K10" i="2" s="1"/>
  <c r="L10" i="2" s="1"/>
  <c r="M10" i="2" s="1"/>
  <c r="N10" i="2" s="1"/>
  <c r="O10" i="2" s="1"/>
  <c r="F34" i="2"/>
  <c r="G34" i="2" s="1"/>
  <c r="H34" i="2" s="1"/>
  <c r="I34" i="2" s="1"/>
  <c r="J34" i="2" s="1"/>
  <c r="K34" i="2" s="1"/>
  <c r="L34" i="2" s="1"/>
  <c r="M34" i="2" s="1"/>
  <c r="N34" i="2" s="1"/>
  <c r="O34" i="2" s="1"/>
  <c r="E49" i="2"/>
  <c r="E41" i="2"/>
  <c r="E43" i="2"/>
  <c r="E45" i="2"/>
  <c r="C28" i="3"/>
  <c r="C29" i="3" s="1"/>
  <c r="C18" i="3"/>
  <c r="F34" i="3"/>
  <c r="F44" i="3" s="1"/>
  <c r="F24" i="3" s="1"/>
  <c r="E29" i="1"/>
  <c r="E14" i="3"/>
  <c r="E60" i="2"/>
  <c r="E66" i="2" s="1"/>
  <c r="E62" i="2"/>
  <c r="C16" i="3"/>
  <c r="G61" i="2" l="1"/>
  <c r="E35" i="1"/>
  <c r="F61" i="2"/>
  <c r="D61" i="2"/>
  <c r="E61" i="2"/>
  <c r="D60" i="2"/>
  <c r="D66" i="2" s="1"/>
  <c r="E46" i="2"/>
  <c r="E21" i="2"/>
  <c r="L14" i="1"/>
  <c r="F29" i="2"/>
  <c r="M15" i="1"/>
  <c r="C36" i="3"/>
  <c r="C46" i="3" s="1"/>
  <c r="C15" i="3"/>
  <c r="C35" i="3" s="1"/>
  <c r="C45" i="3" s="1"/>
  <c r="H61" i="2"/>
  <c r="H45" i="2"/>
  <c r="H43" i="2"/>
  <c r="H41" i="2"/>
  <c r="H49" i="2"/>
  <c r="H62" i="2"/>
  <c r="H60" i="2"/>
  <c r="H66" i="2" s="1"/>
  <c r="H44" i="2"/>
  <c r="H42" i="2"/>
  <c r="I12" i="2"/>
  <c r="F50" i="2"/>
  <c r="F51" i="2" s="1"/>
  <c r="F15" i="2"/>
  <c r="E17" i="2"/>
  <c r="E32" i="2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L25" i="1"/>
  <c r="C19" i="3"/>
  <c r="C39" i="3" s="1"/>
  <c r="C49" i="3" s="1"/>
  <c r="C38" i="3"/>
  <c r="C48" i="3" s="1"/>
  <c r="G50" i="2"/>
  <c r="G51" i="2" s="1"/>
  <c r="G46" i="2"/>
  <c r="G31" i="2"/>
  <c r="H31" i="2" s="1"/>
  <c r="I31" i="2" s="1"/>
  <c r="J31" i="2" s="1"/>
  <c r="K31" i="2" s="1"/>
  <c r="L31" i="2" s="1"/>
  <c r="M31" i="2" s="1"/>
  <c r="N31" i="2" s="1"/>
  <c r="O31" i="2" s="1"/>
  <c r="E33" i="2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L26" i="1"/>
  <c r="F46" i="2"/>
  <c r="D14" i="3"/>
  <c r="D34" i="3" s="1"/>
  <c r="D44" i="3" s="1"/>
  <c r="D24" i="3" s="1"/>
  <c r="E34" i="3"/>
  <c r="E44" i="3" s="1"/>
  <c r="E24" i="3" s="1"/>
  <c r="E39" i="1"/>
  <c r="G30" i="2"/>
  <c r="H30" i="2" s="1"/>
  <c r="I30" i="2" s="1"/>
  <c r="J30" i="2" s="1"/>
  <c r="K30" i="2" s="1"/>
  <c r="L30" i="2" s="1"/>
  <c r="M30" i="2" s="1"/>
  <c r="N30" i="2" s="1"/>
  <c r="O30" i="2" s="1"/>
  <c r="G23" i="2"/>
  <c r="H23" i="2" s="1"/>
  <c r="I23" i="2" s="1"/>
  <c r="J23" i="2" s="1"/>
  <c r="K23" i="2" s="1"/>
  <c r="L23" i="2" s="1"/>
  <c r="M23" i="2" s="1"/>
  <c r="N23" i="2" s="1"/>
  <c r="O23" i="2" s="1"/>
  <c r="E50" i="2"/>
  <c r="E51" i="2" s="1"/>
  <c r="M36" i="1"/>
  <c r="M28" i="1"/>
  <c r="D63" i="2" l="1"/>
  <c r="E59" i="2" s="1"/>
  <c r="E63" i="2" s="1"/>
  <c r="F59" i="2" s="1"/>
  <c r="D68" i="2"/>
  <c r="H46" i="2"/>
  <c r="E35" i="2"/>
  <c r="E18" i="2"/>
  <c r="G15" i="2"/>
  <c r="F17" i="2"/>
  <c r="H50" i="2"/>
  <c r="H51" i="2" s="1"/>
  <c r="E22" i="2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L15" i="1"/>
  <c r="L17" i="1" s="1"/>
  <c r="L19" i="1" s="1"/>
  <c r="M17" i="1"/>
  <c r="M19" i="1" s="1"/>
  <c r="M30" i="1" s="1"/>
  <c r="G29" i="2"/>
  <c r="F35" i="2"/>
  <c r="F21" i="2"/>
  <c r="L28" i="1"/>
  <c r="I45" i="2"/>
  <c r="I61" i="2"/>
  <c r="I43" i="2"/>
  <c r="I41" i="2"/>
  <c r="I49" i="2"/>
  <c r="J12" i="2"/>
  <c r="I62" i="2"/>
  <c r="I60" i="2"/>
  <c r="I66" i="2" s="1"/>
  <c r="I44" i="2"/>
  <c r="I42" i="2"/>
  <c r="F65" i="2" l="1"/>
  <c r="F63" i="2"/>
  <c r="G59" i="2" s="1"/>
  <c r="E65" i="2"/>
  <c r="L30" i="1"/>
  <c r="L34" i="1" s="1"/>
  <c r="K22" i="3" s="1"/>
  <c r="E24" i="2"/>
  <c r="E26" i="2" s="1"/>
  <c r="E37" i="2" s="1"/>
  <c r="E38" i="2" s="1"/>
  <c r="G63" i="2"/>
  <c r="H59" i="2" s="1"/>
  <c r="G65" i="2"/>
  <c r="I50" i="2"/>
  <c r="I51" i="2" s="1"/>
  <c r="F24" i="2"/>
  <c r="F26" i="2" s="1"/>
  <c r="F37" i="2" s="1"/>
  <c r="G21" i="2"/>
  <c r="I46" i="2"/>
  <c r="F18" i="2"/>
  <c r="G35" i="2"/>
  <c r="H29" i="2"/>
  <c r="G17" i="2"/>
  <c r="H15" i="2"/>
  <c r="M34" i="1"/>
  <c r="M37" i="1" s="1"/>
  <c r="M38" i="1"/>
  <c r="J61" i="2"/>
  <c r="J45" i="2"/>
  <c r="J43" i="2"/>
  <c r="J41" i="2"/>
  <c r="J49" i="2"/>
  <c r="J62" i="2"/>
  <c r="J60" i="2"/>
  <c r="J66" i="2" s="1"/>
  <c r="J44" i="2"/>
  <c r="J42" i="2"/>
  <c r="K12" i="2"/>
  <c r="K36" i="3" l="1"/>
  <c r="K8" i="3"/>
  <c r="K23" i="3"/>
  <c r="K30" i="3"/>
  <c r="K10" i="3"/>
  <c r="K42" i="3"/>
  <c r="K26" i="3"/>
  <c r="K24" i="3"/>
  <c r="K39" i="3"/>
  <c r="K43" i="3"/>
  <c r="K12" i="3"/>
  <c r="K45" i="3"/>
  <c r="K25" i="3"/>
  <c r="K46" i="3"/>
  <c r="K16" i="3"/>
  <c r="K37" i="3"/>
  <c r="K6" i="3"/>
  <c r="K31" i="3"/>
  <c r="K11" i="3"/>
  <c r="K29" i="3"/>
  <c r="K40" i="3"/>
  <c r="K17" i="3"/>
  <c r="K38" i="3"/>
  <c r="K18" i="3"/>
  <c r="K44" i="3"/>
  <c r="K33" i="3"/>
  <c r="K9" i="3"/>
  <c r="K20" i="3"/>
  <c r="K7" i="3"/>
  <c r="K32" i="3"/>
  <c r="K34" i="3"/>
  <c r="K13" i="3"/>
  <c r="K35" i="3"/>
  <c r="K15" i="3"/>
  <c r="K14" i="3"/>
  <c r="K49" i="3"/>
  <c r="K47" i="3"/>
  <c r="K41" i="3"/>
  <c r="K21" i="3"/>
  <c r="K5" i="3"/>
  <c r="K19" i="3"/>
  <c r="K27" i="3"/>
  <c r="K48" i="3"/>
  <c r="K28" i="3"/>
  <c r="E53" i="2"/>
  <c r="E68" i="2" s="1"/>
  <c r="F38" i="2"/>
  <c r="F53" i="2"/>
  <c r="F68" i="2" s="1"/>
  <c r="G24" i="2"/>
  <c r="G26" i="2" s="1"/>
  <c r="G37" i="2" s="1"/>
  <c r="H21" i="2"/>
  <c r="I15" i="2"/>
  <c r="H17" i="2"/>
  <c r="G18" i="2"/>
  <c r="C14" i="3"/>
  <c r="C24" i="3"/>
  <c r="J50" i="2"/>
  <c r="J51" i="2" s="1"/>
  <c r="J46" i="2"/>
  <c r="H63" i="2"/>
  <c r="I59" i="2" s="1"/>
  <c r="H65" i="2"/>
  <c r="H35" i="2"/>
  <c r="I29" i="2"/>
  <c r="K49" i="2"/>
  <c r="L12" i="2"/>
  <c r="K62" i="2"/>
  <c r="K60" i="2"/>
  <c r="K66" i="2" s="1"/>
  <c r="K44" i="2"/>
  <c r="K42" i="2"/>
  <c r="K61" i="2"/>
  <c r="K45" i="2"/>
  <c r="K43" i="2"/>
  <c r="K41" i="2"/>
  <c r="E69" i="2" l="1"/>
  <c r="G38" i="2"/>
  <c r="G53" i="2"/>
  <c r="K46" i="2"/>
  <c r="I63" i="2"/>
  <c r="J59" i="2" s="1"/>
  <c r="I65" i="2"/>
  <c r="H18" i="2"/>
  <c r="I17" i="2"/>
  <c r="J15" i="2"/>
  <c r="H24" i="2"/>
  <c r="H26" i="2" s="1"/>
  <c r="H37" i="2" s="1"/>
  <c r="I21" i="2"/>
  <c r="L62" i="2"/>
  <c r="L60" i="2"/>
  <c r="L66" i="2" s="1"/>
  <c r="L44" i="2"/>
  <c r="L42" i="2"/>
  <c r="L61" i="2"/>
  <c r="L45" i="2"/>
  <c r="L43" i="2"/>
  <c r="L41" i="2"/>
  <c r="L49" i="2"/>
  <c r="M12" i="2"/>
  <c r="K50" i="2"/>
  <c r="K51" i="2" s="1"/>
  <c r="F69" i="2"/>
  <c r="I35" i="2"/>
  <c r="J29" i="2"/>
  <c r="H38" i="2" l="1"/>
  <c r="H53" i="2"/>
  <c r="H68" i="2" s="1"/>
  <c r="J63" i="2"/>
  <c r="K59" i="2" s="1"/>
  <c r="J65" i="2"/>
  <c r="I24" i="2"/>
  <c r="I26" i="2" s="1"/>
  <c r="I37" i="2" s="1"/>
  <c r="J21" i="2"/>
  <c r="G68" i="2"/>
  <c r="K15" i="2"/>
  <c r="J17" i="2"/>
  <c r="M62" i="2"/>
  <c r="M60" i="2"/>
  <c r="M66" i="2" s="1"/>
  <c r="M44" i="2"/>
  <c r="M42" i="2"/>
  <c r="M61" i="2"/>
  <c r="M45" i="2"/>
  <c r="M43" i="2"/>
  <c r="M41" i="2"/>
  <c r="M49" i="2"/>
  <c r="N12" i="2"/>
  <c r="I18" i="2"/>
  <c r="L50" i="2"/>
  <c r="L51" i="2" s="1"/>
  <c r="L46" i="2"/>
  <c r="J35" i="2"/>
  <c r="K29" i="2"/>
  <c r="M46" i="2" l="1"/>
  <c r="M50" i="2"/>
  <c r="M51" i="2" s="1"/>
  <c r="K35" i="2"/>
  <c r="L29" i="2"/>
  <c r="G69" i="2"/>
  <c r="J24" i="2"/>
  <c r="J26" i="2" s="1"/>
  <c r="J37" i="2" s="1"/>
  <c r="K21" i="2"/>
  <c r="J18" i="2"/>
  <c r="K17" i="2"/>
  <c r="L15" i="2"/>
  <c r="K63" i="2"/>
  <c r="L59" i="2" s="1"/>
  <c r="K65" i="2"/>
  <c r="I38" i="2"/>
  <c r="I53" i="2"/>
  <c r="H69" i="2"/>
  <c r="N60" i="2"/>
  <c r="N66" i="2" s="1"/>
  <c r="N44" i="2"/>
  <c r="N42" i="2"/>
  <c r="N61" i="2"/>
  <c r="N45" i="2"/>
  <c r="N43" i="2"/>
  <c r="N41" i="2"/>
  <c r="N49" i="2"/>
  <c r="O12" i="2"/>
  <c r="N50" i="2" l="1"/>
  <c r="N51" i="2" s="1"/>
  <c r="N46" i="2"/>
  <c r="K18" i="2"/>
  <c r="O53" i="2"/>
  <c r="O61" i="2"/>
  <c r="O45" i="2"/>
  <c r="O43" i="2"/>
  <c r="O41" i="2"/>
  <c r="O49" i="2"/>
  <c r="O62" i="2"/>
  <c r="O60" i="2"/>
  <c r="O66" i="2" s="1"/>
  <c r="O44" i="2"/>
  <c r="O42" i="2"/>
  <c r="L63" i="2"/>
  <c r="M59" i="2" s="1"/>
  <c r="L65" i="2"/>
  <c r="L35" i="2"/>
  <c r="M29" i="2"/>
  <c r="M15" i="2"/>
  <c r="L17" i="2"/>
  <c r="J38" i="2"/>
  <c r="J53" i="2"/>
  <c r="J68" i="2" s="1"/>
  <c r="I68" i="2"/>
  <c r="K24" i="2"/>
  <c r="K26" i="2" s="1"/>
  <c r="K37" i="2" s="1"/>
  <c r="L21" i="2"/>
  <c r="J69" i="2" l="1"/>
  <c r="O46" i="2"/>
  <c r="K38" i="2"/>
  <c r="K53" i="2"/>
  <c r="L18" i="2"/>
  <c r="L24" i="2"/>
  <c r="L26" i="2" s="1"/>
  <c r="L37" i="2" s="1"/>
  <c r="M21" i="2"/>
  <c r="N29" i="2"/>
  <c r="M35" i="2"/>
  <c r="N15" i="2"/>
  <c r="M17" i="2"/>
  <c r="O50" i="2"/>
  <c r="O51" i="2"/>
  <c r="I69" i="2"/>
  <c r="M63" i="2"/>
  <c r="N59" i="2" s="1"/>
  <c r="M65" i="2"/>
  <c r="L38" i="2" l="1"/>
  <c r="L53" i="2"/>
  <c r="L68" i="2" s="1"/>
  <c r="M24" i="2"/>
  <c r="M26" i="2" s="1"/>
  <c r="M37" i="2" s="1"/>
  <c r="N21" i="2"/>
  <c r="M18" i="2"/>
  <c r="O29" i="2"/>
  <c r="O35" i="2" s="1"/>
  <c r="N35" i="2"/>
  <c r="N62" i="2"/>
  <c r="N63" i="2" s="1"/>
  <c r="O59" i="2" s="1"/>
  <c r="N65" i="2"/>
  <c r="O15" i="2"/>
  <c r="O17" i="2" s="1"/>
  <c r="N17" i="2"/>
  <c r="K68" i="2"/>
  <c r="L69" i="2" l="1"/>
  <c r="O63" i="2"/>
  <c r="O65" i="2"/>
  <c r="O68" i="2" s="1"/>
  <c r="O18" i="2"/>
  <c r="N24" i="2"/>
  <c r="N26" i="2" s="1"/>
  <c r="N37" i="2" s="1"/>
  <c r="O21" i="2"/>
  <c r="O24" i="2" s="1"/>
  <c r="O26" i="2" s="1"/>
  <c r="O37" i="2" s="1"/>
  <c r="O38" i="2" s="1"/>
  <c r="M38" i="2"/>
  <c r="M53" i="2"/>
  <c r="M68" i="2" s="1"/>
  <c r="M69" i="2" s="1"/>
  <c r="N18" i="2"/>
  <c r="K69" i="2"/>
  <c r="N38" i="2" l="1"/>
  <c r="N53" i="2"/>
  <c r="N68" i="2" l="1"/>
  <c r="C55" i="2"/>
  <c r="C56" i="2"/>
  <c r="C57" i="2"/>
  <c r="C34" i="3" l="1"/>
  <c r="N69" i="2"/>
  <c r="C73" i="2"/>
  <c r="C72" i="2"/>
  <c r="C71" i="2"/>
  <c r="C44" i="3" s="1"/>
  <c r="O69" i="2"/>
</calcChain>
</file>

<file path=xl/sharedStrings.xml><?xml version="1.0" encoding="utf-8"?>
<sst xmlns="http://schemas.openxmlformats.org/spreadsheetml/2006/main" count="247" uniqueCount="193">
  <si>
    <t>Property Details</t>
  </si>
  <si>
    <t>Year 1 Economics</t>
  </si>
  <si>
    <t>Address</t>
  </si>
  <si>
    <t>% of Rental Income</t>
  </si>
  <si>
    <t>Monthly</t>
  </si>
  <si>
    <t>Annually</t>
  </si>
  <si>
    <t>Notes</t>
  </si>
  <si>
    <t>Listing</t>
  </si>
  <si>
    <t xml:space="preserve"> </t>
  </si>
  <si>
    <t>Regulation</t>
  </si>
  <si>
    <t>Revenue</t>
  </si>
  <si>
    <t>Permit Info</t>
  </si>
  <si>
    <t>Rental Income</t>
  </si>
  <si>
    <t>Other Income</t>
  </si>
  <si>
    <t>Total Revenue</t>
  </si>
  <si>
    <t>Unit Type</t>
  </si>
  <si>
    <t># Bedrooms</t>
  </si>
  <si>
    <t># Bathrooms</t>
  </si>
  <si>
    <t>Quantity</t>
  </si>
  <si>
    <t>RevPAN</t>
  </si>
  <si>
    <t>Comparables</t>
  </si>
  <si>
    <t>Expenses</t>
  </si>
  <si>
    <t>Channel Fee</t>
  </si>
  <si>
    <t>Property Management Fee</t>
  </si>
  <si>
    <t>Supplies Fee</t>
  </si>
  <si>
    <t>See Index tab</t>
  </si>
  <si>
    <t>Total Expenses</t>
  </si>
  <si>
    <t>Total</t>
  </si>
  <si>
    <t>Weighted Average</t>
  </si>
  <si>
    <t>Other Expenses</t>
  </si>
  <si>
    <t>Initial Investment</t>
  </si>
  <si>
    <t>Real Estate Taxes</t>
  </si>
  <si>
    <t>%</t>
  </si>
  <si>
    <t>Insurance</t>
  </si>
  <si>
    <t>Purchase Price</t>
  </si>
  <si>
    <t>HOA Fees</t>
  </si>
  <si>
    <t>Closing Costs</t>
  </si>
  <si>
    <t>Utilities</t>
  </si>
  <si>
    <t>Immediate Repairs</t>
  </si>
  <si>
    <t>Due diligence required</t>
  </si>
  <si>
    <t>Maintenance</t>
  </si>
  <si>
    <t>Furnishing Costs</t>
  </si>
  <si>
    <t>Other Ongoing Expenses</t>
  </si>
  <si>
    <t>Other Initial Expenses</t>
  </si>
  <si>
    <t>Tech install, photos, cleaning, etc.</t>
  </si>
  <si>
    <t>Total Initial Investment</t>
  </si>
  <si>
    <t>Net Operating Income</t>
  </si>
  <si>
    <t>Financing Assumptions</t>
  </si>
  <si>
    <t>Loan Payment</t>
  </si>
  <si>
    <t>Down Payment</t>
  </si>
  <si>
    <t>Investor-specific</t>
  </si>
  <si>
    <t>Loan Amount</t>
  </si>
  <si>
    <t>Leveraged Net Cash Flow</t>
  </si>
  <si>
    <t>Loan Closing Costs</t>
  </si>
  <si>
    <t>Deal-specific</t>
  </si>
  <si>
    <t>Interest Rate</t>
  </si>
  <si>
    <t>Gross Yield</t>
  </si>
  <si>
    <t>Interest Type</t>
  </si>
  <si>
    <t>Cash-on-Cash</t>
  </si>
  <si>
    <t>Amortization (yrs)</t>
  </si>
  <si>
    <t>Cap Rate</t>
  </si>
  <si>
    <t>Upfront Costs</t>
  </si>
  <si>
    <t>Disposition Assumptions</t>
  </si>
  <si>
    <t>Disposition Year</t>
  </si>
  <si>
    <t>Disposition Expenses</t>
  </si>
  <si>
    <t>Valuation Method</t>
  </si>
  <si>
    <t>Appreciation</t>
  </si>
  <si>
    <t>Inflation Assumptions</t>
  </si>
  <si>
    <t>Revenue Inflation</t>
  </si>
  <si>
    <t>Expense Inflation</t>
  </si>
  <si>
    <t>Supplies Fees</t>
  </si>
  <si>
    <t>Property-Level Yield-on-Cost</t>
  </si>
  <si>
    <t>Disposition</t>
  </si>
  <si>
    <t>Disposition Proceeds</t>
  </si>
  <si>
    <t>Net Disposition Proceeds</t>
  </si>
  <si>
    <t>Unleveraged Net Cash Flow</t>
  </si>
  <si>
    <t>Unleveraged IRR</t>
  </si>
  <si>
    <t>Unleveraged Profits</t>
  </si>
  <si>
    <t>Unleveraged Multiple</t>
  </si>
  <si>
    <t>Loan Balance Beginning of Period</t>
  </si>
  <si>
    <t>Loan Funded</t>
  </si>
  <si>
    <t>Principal Repayment</t>
  </si>
  <si>
    <t>Oustanding Balance Repayment</t>
  </si>
  <si>
    <t>Loan Balance End of Period</t>
  </si>
  <si>
    <t>Interest Payment</t>
  </si>
  <si>
    <t>Loan Origination Fees</t>
  </si>
  <si>
    <t>Leveraged IRR</t>
  </si>
  <si>
    <t>Leveraged Profits</t>
  </si>
  <si>
    <t>Leveraged Multiple</t>
  </si>
  <si>
    <t>Sensitivity Analysis</t>
  </si>
  <si>
    <t>Cummulative CoC Return</t>
  </si>
  <si>
    <t>Weighted Average RevPAN (enter value in cell F4)</t>
  </si>
  <si>
    <t>---&gt;</t>
  </si>
  <si>
    <t>Month</t>
  </si>
  <si>
    <t>CoC</t>
  </si>
  <si>
    <t>Weighted Average RevPAN Increments</t>
  </si>
  <si>
    <t>Purchase Price (enter value in cell F6)</t>
  </si>
  <si>
    <t>Purchase Price Increments</t>
  </si>
  <si>
    <t>Immediate Repairs (enter value in cell F8)</t>
  </si>
  <si>
    <t>Immediate Repairs Increments</t>
  </si>
  <si>
    <t>Year 1 Cash-on-Cash Return</t>
  </si>
  <si>
    <t>Weighted Average RevPAN</t>
  </si>
  <si>
    <t>Unleveraged IRR / Profits</t>
  </si>
  <si>
    <t>11.0% / $212k</t>
  </si>
  <si>
    <t>11.6% / $225k</t>
  </si>
  <si>
    <t>12.3% / $237k</t>
  </si>
  <si>
    <t>12.9% / $250k</t>
  </si>
  <si>
    <t>13.5% / $263k</t>
  </si>
  <si>
    <t>11.1% / $212k</t>
  </si>
  <si>
    <t>11.8% / $224k</t>
  </si>
  <si>
    <t>12.4% / $237k</t>
  </si>
  <si>
    <t>13.1% / $250k</t>
  </si>
  <si>
    <t>13.7% / $262k</t>
  </si>
  <si>
    <t>11.3% / $211k</t>
  </si>
  <si>
    <t>11.9% / $224k</t>
  </si>
  <si>
    <t>12.6% / $236k</t>
  </si>
  <si>
    <t>13.2% / $249k</t>
  </si>
  <si>
    <t>13.9% / $262k</t>
  </si>
  <si>
    <t>11.4% / $211k</t>
  </si>
  <si>
    <t>12.1% / $223k</t>
  </si>
  <si>
    <t>12.7% / $236k</t>
  </si>
  <si>
    <t>13.4% / $249k</t>
  </si>
  <si>
    <t>14.1% / $261k</t>
  </si>
  <si>
    <t>11.5% / $210k</t>
  </si>
  <si>
    <t>12.2% / $223k</t>
  </si>
  <si>
    <t>12.9% / $236k</t>
  </si>
  <si>
    <t>13.6% / $248k</t>
  </si>
  <si>
    <t>14.2% / $261k</t>
  </si>
  <si>
    <t>Leveraged IRR / Profits</t>
  </si>
  <si>
    <t>18.4% / $128k</t>
  </si>
  <si>
    <t>20.3% / $141k</t>
  </si>
  <si>
    <t>22.1% / $153k</t>
  </si>
  <si>
    <t>24.0% / $166k</t>
  </si>
  <si>
    <t>25.8% / $178k</t>
  </si>
  <si>
    <t>18.8% / $129k</t>
  </si>
  <si>
    <t>20.6% / $141k</t>
  </si>
  <si>
    <t>22.5% / $154k</t>
  </si>
  <si>
    <t>24.4% / $167k</t>
  </si>
  <si>
    <t>26.2% / $179k</t>
  </si>
  <si>
    <t>19.1% / $130k</t>
  </si>
  <si>
    <t>21.0% / $142k</t>
  </si>
  <si>
    <t>22.9% / $155k</t>
  </si>
  <si>
    <t>24.8% / $168k</t>
  </si>
  <si>
    <t>26.7% / $180k</t>
  </si>
  <si>
    <t>19.5% / $131k</t>
  </si>
  <si>
    <t>21.4% / $143k</t>
  </si>
  <si>
    <t>23.3% / $156k</t>
  </si>
  <si>
    <t>25.2% / $168k</t>
  </si>
  <si>
    <t>27.1% / $181k</t>
  </si>
  <si>
    <t>19.9% / $131k</t>
  </si>
  <si>
    <t>21.8% / $144k</t>
  </si>
  <si>
    <t>23.7% / $157k</t>
  </si>
  <si>
    <t>25.7% / $169k</t>
  </si>
  <si>
    <t>27.6% / $182k</t>
  </si>
  <si>
    <t>Bedrooms/Bathrooms</t>
  </si>
  <si>
    <t>0/1</t>
  </si>
  <si>
    <t>1/1</t>
  </si>
  <si>
    <t>2/1</t>
  </si>
  <si>
    <t>2/1.5</t>
  </si>
  <si>
    <t>2/2</t>
  </si>
  <si>
    <t>2/2.5</t>
  </si>
  <si>
    <t>3/1</t>
  </si>
  <si>
    <t>3/1.5</t>
  </si>
  <si>
    <t>3/2</t>
  </si>
  <si>
    <t>3/2.5</t>
  </si>
  <si>
    <t>3/3</t>
  </si>
  <si>
    <t>3/3.5</t>
  </si>
  <si>
    <t>4/1</t>
  </si>
  <si>
    <t>4/2</t>
  </si>
  <si>
    <t>4/2.5</t>
  </si>
  <si>
    <t>4/3</t>
  </si>
  <si>
    <t>4/3.5</t>
  </si>
  <si>
    <t>4/4</t>
  </si>
  <si>
    <t>5/1</t>
  </si>
  <si>
    <t>5/2</t>
  </si>
  <si>
    <t>5/3</t>
  </si>
  <si>
    <t>5/4</t>
  </si>
  <si>
    <t>5/5</t>
  </si>
  <si>
    <t>Bedrooms</t>
  </si>
  <si>
    <t>Furnishing Expense</t>
  </si>
  <si>
    <t>Cala Molí, Saint Joseph da Sa Talaia, Ibiza</t>
  </si>
  <si>
    <t>Island Register of Touristic Activity of Ibiza</t>
  </si>
  <si>
    <t>File 344/2015-0604 1st August 2016</t>
  </si>
  <si>
    <t>€</t>
  </si>
  <si>
    <t>Net Payout</t>
  </si>
  <si>
    <t>10 YEAR HOLD PERIOD SCENARIO</t>
  </si>
  <si>
    <t>Data from Tax Department Baleric Government</t>
  </si>
  <si>
    <t>Quotation from Axa Insurance</t>
  </si>
  <si>
    <t>N/A</t>
  </si>
  <si>
    <t>Estimation minor expenses</t>
  </si>
  <si>
    <t xml:space="preserve">Historical data provided by Le Exclusif Real Estate </t>
  </si>
  <si>
    <t>Historical data provided by Le Exclusif Real Estate</t>
  </si>
  <si>
    <t>Interest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</si>
</sst>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164" formatCode="&quot;$&quot;#,##0"/>
    <numFmt numFmtId="165" formatCode="&quot;Year&quot;\ 0"/>
    <numFmt numFmtId="166" formatCode="0.00\x"/>
    <numFmt numFmtId="167" formatCode="0.0%"/>
    <numFmt numFmtId="168" formatCode="#,##0.00\ [$€-80C]"/>
    <numFmt numFmtId="169" formatCode="#,##0\ [$€-816]"/>
    <numFmt numFmtId="170" formatCode="#,##0\ [$€-425]"/>
    <numFmt numFmtId="171" formatCode="#,##0\ [$€-301A]"/>
    <numFmt numFmtId="172" formatCode="#,##0.00\ [$€-407]"/>
    <numFmt numFmtId="173" formatCode="#,##0\ [$€-42D]"/>
    <numFmt numFmtId="174" formatCode="#,##0.00\ [$€-1007]"/>
    <numFmt numFmtId="175" formatCode="#,##0.00\ [$€-403]"/>
    <numFmt numFmtId="176" formatCode="#,##0\ [$€-403]"/>
    <numFmt numFmtId="177" formatCode="#,##0.00\ [$€-816]"/>
    <numFmt numFmtId="178" formatCode="#,##0.00\ [$€-47E]"/>
    <numFmt numFmtId="179" formatCode="#,##0.00\ [$€-426]"/>
    <numFmt numFmtId="180" formatCode="#,##0.00\ [$€-243B]"/>
    <numFmt numFmtId="181" formatCode="#,##0.00\ [$€-408]"/>
    <numFmt numFmtId="182" formatCode="#,##0\ [$€-200C]"/>
  </numFmts>
  <fonts count="28">
    <font>
      <sz val="12"/>
      <color theme="1"/>
      <name val="Calibri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Lato"/>
    </font>
    <font>
      <b/>
      <sz val="10"/>
      <color theme="1"/>
      <name val="Lato"/>
    </font>
    <font>
      <sz val="10"/>
      <color theme="1"/>
      <name val="Sora"/>
    </font>
    <font>
      <sz val="12"/>
      <name val="Calibri"/>
      <family val="2"/>
    </font>
    <font>
      <i/>
      <sz val="10"/>
      <color theme="1"/>
      <name val="Lato"/>
    </font>
    <font>
      <b/>
      <sz val="10"/>
      <color theme="0"/>
      <name val="Arial"/>
      <family val="2"/>
    </font>
    <font>
      <b/>
      <sz val="10"/>
      <color theme="0"/>
      <name val="Sora"/>
    </font>
    <font>
      <sz val="10"/>
      <color theme="1"/>
      <name val="Lato"/>
    </font>
    <font>
      <u/>
      <sz val="10"/>
      <color rgb="FF0000FF"/>
      <name val="Lato"/>
    </font>
    <font>
      <b/>
      <u/>
      <sz val="10"/>
      <color theme="1"/>
      <name val="Lato"/>
    </font>
    <font>
      <u/>
      <sz val="10"/>
      <color theme="10"/>
      <name val="Arial"/>
      <family val="2"/>
    </font>
    <font>
      <i/>
      <sz val="9"/>
      <color theme="1"/>
      <name val="Lato"/>
    </font>
    <font>
      <sz val="10"/>
      <color rgb="FF0000FF"/>
      <name val="Lato"/>
    </font>
    <font>
      <b/>
      <sz val="10"/>
      <color theme="1"/>
      <name val="Arial"/>
      <family val="2"/>
    </font>
    <font>
      <u/>
      <sz val="12"/>
      <color rgb="FF0000FF"/>
      <name val="Calibri"/>
      <family val="2"/>
    </font>
    <font>
      <u/>
      <sz val="12"/>
      <color rgb="FF1155CC"/>
      <name val="Calibri"/>
      <family val="2"/>
    </font>
    <font>
      <sz val="12"/>
      <color theme="1"/>
      <name val="Calibri"/>
      <family val="2"/>
    </font>
    <font>
      <sz val="10"/>
      <color rgb="FF0000FF"/>
      <name val="Arial"/>
      <family val="2"/>
    </font>
    <font>
      <u/>
      <sz val="10"/>
      <color theme="10"/>
      <name val="Calibri"/>
      <family val="2"/>
    </font>
    <font>
      <b/>
      <u/>
      <sz val="10"/>
      <color theme="1"/>
      <name val="Lato"/>
    </font>
    <font>
      <sz val="12"/>
      <color theme="1"/>
      <name val="Lato"/>
    </font>
    <font>
      <b/>
      <sz val="10"/>
      <color theme="1"/>
      <name val="Sora"/>
    </font>
    <font>
      <b/>
      <sz val="10"/>
      <color theme="0"/>
      <name val="Lato"/>
    </font>
    <font>
      <b/>
      <sz val="10"/>
      <color rgb="FFFFFFCC"/>
      <name val="Lato"/>
    </font>
    <font>
      <sz val="10"/>
      <color rgb="FF666666"/>
      <name val="Lato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200955"/>
        <bgColor rgb="FF20095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D8D8D8"/>
      </left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 style="hair">
        <color rgb="FFD8D8D8"/>
      </right>
      <top style="hair">
        <color rgb="FFD8D8D8"/>
      </top>
      <bottom style="hair">
        <color rgb="FFD8D8D8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rgb="FFD8D8D8"/>
      </left>
      <right/>
      <top/>
      <bottom/>
      <diagonal/>
    </border>
    <border>
      <left style="hair">
        <color rgb="FFD8D8D8"/>
      </left>
      <right style="hair">
        <color rgb="FFD8D8D8"/>
      </right>
      <top style="hair">
        <color rgb="FFD8D8D8"/>
      </top>
      <bottom style="hair">
        <color rgb="FFD8D8D8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hair">
        <color rgb="FFD8D8D8"/>
      </left>
      <right style="hair">
        <color rgb="FFD8D8D8"/>
      </right>
      <top style="hair">
        <color rgb="FFD8D8D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5" fillId="5" borderId="13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" fontId="10" fillId="0" borderId="14" xfId="0" applyNumberFormat="1" applyFont="1" applyBorder="1" applyAlignment="1">
      <alignment vertical="center"/>
    </xf>
    <xf numFmtId="0" fontId="15" fillId="5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5" fillId="5" borderId="13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" fontId="1" fillId="0" borderId="14" xfId="0" applyNumberFormat="1" applyFont="1" applyBorder="1" applyAlignment="1">
      <alignment vertical="center"/>
    </xf>
    <xf numFmtId="0" fontId="20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10" fillId="0" borderId="0" xfId="0" applyNumberFormat="1" applyFont="1" applyAlignment="1">
      <alignment vertical="center"/>
    </xf>
    <xf numFmtId="10" fontId="10" fillId="5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9" fontId="10" fillId="5" borderId="15" xfId="0" applyNumberFormat="1" applyFont="1" applyFill="1" applyBorder="1" applyAlignment="1">
      <alignment horizontal="center" vertical="center"/>
    </xf>
    <xf numFmtId="10" fontId="10" fillId="5" borderId="20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3" fontId="15" fillId="5" borderId="15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10" fillId="0" borderId="0" xfId="0" applyFont="1"/>
    <xf numFmtId="10" fontId="15" fillId="5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9" fillId="3" borderId="4" xfId="0" applyNumberFormat="1" applyFont="1" applyFill="1" applyBorder="1" applyAlignment="1">
      <alignment horizontal="center"/>
    </xf>
    <xf numFmtId="0" fontId="5" fillId="0" borderId="0" xfId="0" applyFont="1"/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7" fillId="0" borderId="0" xfId="0" applyFont="1"/>
    <xf numFmtId="164" fontId="16" fillId="0" borderId="0" xfId="0" applyNumberFormat="1" applyFont="1"/>
    <xf numFmtId="164" fontId="16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4" fillId="2" borderId="4" xfId="0" applyFont="1" applyFill="1" applyBorder="1"/>
    <xf numFmtId="164" fontId="4" fillId="2" borderId="4" xfId="0" applyNumberFormat="1" applyFont="1" applyFill="1" applyBorder="1" applyAlignment="1">
      <alignment horizontal="center"/>
    </xf>
    <xf numFmtId="0" fontId="16" fillId="0" borderId="0" xfId="0" applyFont="1"/>
    <xf numFmtId="10" fontId="4" fillId="2" borderId="4" xfId="0" applyNumberFormat="1" applyFont="1" applyFill="1" applyBorder="1"/>
    <xf numFmtId="166" fontId="4" fillId="2" borderId="4" xfId="0" applyNumberFormat="1" applyFont="1" applyFill="1" applyBorder="1"/>
    <xf numFmtId="3" fontId="10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center"/>
    </xf>
    <xf numFmtId="0" fontId="19" fillId="0" borderId="0" xfId="0" applyFont="1"/>
    <xf numFmtId="0" fontId="23" fillId="0" borderId="0" xfId="0" applyFont="1"/>
    <xf numFmtId="0" fontId="23" fillId="0" borderId="0" xfId="0" quotePrefix="1" applyFont="1" applyAlignment="1">
      <alignment horizontal="center"/>
    </xf>
    <xf numFmtId="10" fontId="10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/>
    <xf numFmtId="0" fontId="16" fillId="2" borderId="4" xfId="0" applyFont="1" applyFill="1" applyBorder="1" applyAlignment="1">
      <alignment horizontal="center"/>
    </xf>
    <xf numFmtId="164" fontId="8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center" vertical="center"/>
    </xf>
    <xf numFmtId="10" fontId="10" fillId="6" borderId="4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left"/>
    </xf>
    <xf numFmtId="0" fontId="10" fillId="2" borderId="4" xfId="0" applyFont="1" applyFill="1" applyBorder="1"/>
    <xf numFmtId="0" fontId="4" fillId="2" borderId="4" xfId="0" applyFont="1" applyFill="1" applyBorder="1" applyAlignment="1">
      <alignment horizontal="center"/>
    </xf>
    <xf numFmtId="164" fontId="26" fillId="4" borderId="4" xfId="0" applyNumberFormat="1" applyFont="1" applyFill="1" applyBorder="1" applyAlignment="1">
      <alignment horizontal="left"/>
    </xf>
    <xf numFmtId="164" fontId="4" fillId="4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6" fontId="27" fillId="0" borderId="0" xfId="0" quotePrefix="1" applyNumberFormat="1" applyFont="1" applyAlignment="1">
      <alignment horizontal="center" wrapText="1"/>
    </xf>
    <xf numFmtId="6" fontId="27" fillId="0" borderId="0" xfId="0" applyNumberFormat="1" applyFont="1" applyAlignment="1">
      <alignment horizontal="center" wrapText="1"/>
    </xf>
    <xf numFmtId="0" fontId="27" fillId="0" borderId="0" xfId="0" quotePrefix="1" applyFont="1" applyAlignment="1">
      <alignment horizontal="center" wrapText="1"/>
    </xf>
    <xf numFmtId="0" fontId="1" fillId="0" borderId="0" xfId="0" applyFont="1" applyAlignment="1">
      <alignment horizontal="right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168" fontId="15" fillId="5" borderId="15" xfId="0" applyNumberFormat="1" applyFont="1" applyFill="1" applyBorder="1" applyAlignment="1">
      <alignment horizontal="center" vertical="center"/>
    </xf>
    <xf numFmtId="168" fontId="20" fillId="5" borderId="15" xfId="0" applyNumberFormat="1" applyFont="1" applyFill="1" applyBorder="1" applyAlignment="1">
      <alignment horizontal="center" vertical="center"/>
    </xf>
    <xf numFmtId="168" fontId="4" fillId="2" borderId="4" xfId="0" applyNumberFormat="1" applyFont="1" applyFill="1" applyBorder="1" applyAlignment="1">
      <alignment horizontal="center" vertical="center"/>
    </xf>
    <xf numFmtId="168" fontId="4" fillId="0" borderId="18" xfId="0" applyNumberFormat="1" applyFont="1" applyBorder="1" applyAlignment="1">
      <alignment horizontal="center" vertical="center"/>
    </xf>
    <xf numFmtId="169" fontId="10" fillId="5" borderId="15" xfId="0" applyNumberFormat="1" applyFont="1" applyFill="1" applyBorder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70" fontId="10" fillId="0" borderId="0" xfId="0" applyNumberFormat="1" applyFont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172" fontId="15" fillId="5" borderId="13" xfId="0" applyNumberFormat="1" applyFont="1" applyFill="1" applyBorder="1" applyAlignment="1">
      <alignment horizontal="center" vertical="center"/>
    </xf>
    <xf numFmtId="172" fontId="4" fillId="0" borderId="0" xfId="0" applyNumberFormat="1" applyFont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173" fontId="4" fillId="0" borderId="0" xfId="0" applyNumberFormat="1" applyFont="1" applyAlignment="1">
      <alignment horizontal="center" vertical="center"/>
    </xf>
    <xf numFmtId="174" fontId="4" fillId="2" borderId="4" xfId="0" applyNumberFormat="1" applyFont="1" applyFill="1" applyBorder="1" applyAlignment="1">
      <alignment horizontal="center" vertical="center"/>
    </xf>
    <xf numFmtId="174" fontId="1" fillId="0" borderId="0" xfId="0" applyNumberFormat="1" applyFont="1" applyAlignment="1">
      <alignment horizontal="center" vertical="center"/>
    </xf>
    <xf numFmtId="174" fontId="1" fillId="0" borderId="0" xfId="0" applyNumberFormat="1" applyFont="1" applyAlignment="1">
      <alignment vertical="center"/>
    </xf>
    <xf numFmtId="174" fontId="15" fillId="5" borderId="13" xfId="0" applyNumberFormat="1" applyFont="1" applyFill="1" applyBorder="1" applyAlignment="1">
      <alignment horizontal="center" vertical="center"/>
    </xf>
    <xf numFmtId="174" fontId="10" fillId="0" borderId="0" xfId="0" applyNumberFormat="1" applyFont="1" applyAlignment="1">
      <alignment horizontal="center" vertical="center"/>
    </xf>
    <xf numFmtId="174" fontId="4" fillId="0" borderId="0" xfId="0" applyNumberFormat="1" applyFont="1" applyAlignment="1">
      <alignment horizontal="center" vertical="center"/>
    </xf>
    <xf numFmtId="174" fontId="10" fillId="0" borderId="0" xfId="0" applyNumberFormat="1" applyFont="1" applyAlignment="1">
      <alignment vertical="center"/>
    </xf>
    <xf numFmtId="175" fontId="10" fillId="5" borderId="15" xfId="0" applyNumberFormat="1" applyFont="1" applyFill="1" applyBorder="1" applyAlignment="1">
      <alignment horizontal="center"/>
    </xf>
    <xf numFmtId="176" fontId="10" fillId="5" borderId="15" xfId="0" applyNumberFormat="1" applyFont="1" applyFill="1" applyBorder="1" applyAlignment="1">
      <alignment horizontal="center"/>
    </xf>
    <xf numFmtId="177" fontId="10" fillId="0" borderId="0" xfId="0" applyNumberFormat="1" applyFont="1" applyAlignment="1">
      <alignment horizontal="center"/>
    </xf>
    <xf numFmtId="177" fontId="10" fillId="0" borderId="0" xfId="0" applyNumberFormat="1" applyFont="1"/>
    <xf numFmtId="177" fontId="23" fillId="0" borderId="0" xfId="0" applyNumberFormat="1" applyFont="1"/>
    <xf numFmtId="169" fontId="10" fillId="0" borderId="0" xfId="0" applyNumberFormat="1" applyFont="1" applyAlignment="1">
      <alignment horizontal="center"/>
    </xf>
    <xf numFmtId="178" fontId="10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179" fontId="10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center"/>
    </xf>
    <xf numFmtId="180" fontId="1" fillId="0" borderId="0" xfId="0" applyNumberFormat="1" applyFont="1" applyAlignment="1">
      <alignment horizontal="center"/>
    </xf>
    <xf numFmtId="180" fontId="4" fillId="2" borderId="4" xfId="0" applyNumberFormat="1" applyFont="1" applyFill="1" applyBorder="1" applyAlignment="1">
      <alignment horizontal="center"/>
    </xf>
    <xf numFmtId="180" fontId="10" fillId="0" borderId="0" xfId="0" applyNumberFormat="1" applyFont="1" applyAlignment="1">
      <alignment horizontal="center"/>
    </xf>
    <xf numFmtId="181" fontId="10" fillId="0" borderId="0" xfId="0" applyNumberFormat="1" applyFont="1" applyAlignment="1">
      <alignment horizontal="center"/>
    </xf>
    <xf numFmtId="181" fontId="16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81" fontId="4" fillId="2" borderId="4" xfId="0" applyNumberFormat="1" applyFont="1" applyFill="1" applyBorder="1" applyAlignment="1">
      <alignment horizontal="center"/>
    </xf>
    <xf numFmtId="171" fontId="4" fillId="2" borderId="4" xfId="0" applyNumberFormat="1" applyFont="1" applyFill="1" applyBorder="1"/>
    <xf numFmtId="168" fontId="10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8" fontId="4" fillId="2" borderId="4" xfId="0" applyNumberFormat="1" applyFont="1" applyFill="1" applyBorder="1" applyAlignment="1">
      <alignment horizontal="center"/>
    </xf>
    <xf numFmtId="182" fontId="4" fillId="2" borderId="4" xfId="0" applyNumberFormat="1" applyFont="1" applyFill="1" applyBorder="1"/>
    <xf numFmtId="0" fontId="16" fillId="7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8" fillId="3" borderId="8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9" xfId="0" applyFont="1" applyBorder="1"/>
    <xf numFmtId="0" fontId="9" fillId="3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1" fillId="5" borderId="10" xfId="0" applyFont="1" applyFill="1" applyBorder="1" applyAlignment="1">
      <alignment horizontal="left" vertical="center"/>
    </xf>
    <xf numFmtId="0" fontId="19" fillId="0" borderId="11" xfId="0" applyFont="1" applyBorder="1"/>
    <xf numFmtId="0" fontId="19" fillId="0" borderId="12" xfId="0" applyFont="1" applyBorder="1"/>
    <xf numFmtId="0" fontId="24" fillId="2" borderId="8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right" vertical="center" textRotation="90"/>
    </xf>
    <xf numFmtId="0" fontId="6" fillId="0" borderId="22" xfId="0" applyFont="1" applyBorder="1"/>
    <xf numFmtId="0" fontId="6" fillId="0" borderId="23" xfId="0" applyFont="1" applyBorder="1"/>
    <xf numFmtId="0" fontId="9" fillId="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right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showGridLines="0" tabSelected="1" zoomScale="130" zoomScaleNormal="130" workbookViewId="0">
      <selection activeCell="E37" sqref="E37"/>
    </sheetView>
  </sheetViews>
  <sheetFormatPr baseColWidth="10" defaultColWidth="11.1640625" defaultRowHeight="15" customHeight="1"/>
  <cols>
    <col min="1" max="1" width="7.5" customWidth="1"/>
    <col min="2" max="7" width="12.5" customWidth="1"/>
    <col min="8" max="8" width="7.5" customWidth="1"/>
    <col min="9" max="9" width="25" customWidth="1"/>
    <col min="10" max="13" width="12.5" customWidth="1"/>
    <col min="14" max="14" width="2.5" customWidth="1"/>
    <col min="15" max="15" width="18.5" customWidth="1"/>
    <col min="16" max="26" width="8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" customHeight="1">
      <c r="A2" s="1"/>
      <c r="B2" s="155" t="s">
        <v>185</v>
      </c>
      <c r="C2" s="155"/>
      <c r="D2" s="155"/>
      <c r="E2" s="155"/>
      <c r="F2" s="155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>
        <v>119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58" t="s">
        <v>0</v>
      </c>
      <c r="C4" s="159"/>
      <c r="D4" s="159"/>
      <c r="E4" s="159"/>
      <c r="F4" s="159"/>
      <c r="G4" s="160"/>
      <c r="H4" s="1"/>
      <c r="I4" s="161" t="s">
        <v>1</v>
      </c>
      <c r="J4" s="159"/>
      <c r="K4" s="159"/>
      <c r="L4" s="159"/>
      <c r="M4" s="160"/>
      <c r="N4" s="1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6" t="s">
        <v>2</v>
      </c>
      <c r="C6" s="162" t="s">
        <v>180</v>
      </c>
      <c r="D6" s="163"/>
      <c r="E6" s="163"/>
      <c r="F6" s="164"/>
      <c r="G6" s="1"/>
      <c r="H6" s="1"/>
      <c r="I6" s="7"/>
      <c r="J6" s="7"/>
      <c r="K6" s="8" t="s">
        <v>3</v>
      </c>
      <c r="L6" s="7" t="s">
        <v>4</v>
      </c>
      <c r="M6" s="7" t="s">
        <v>5</v>
      </c>
      <c r="N6" s="1"/>
      <c r="O6" s="9" t="s">
        <v>6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6" t="s">
        <v>7</v>
      </c>
      <c r="C7" s="165"/>
      <c r="D7" s="163"/>
      <c r="E7" s="163"/>
      <c r="F7" s="164"/>
      <c r="G7" s="1" t="s">
        <v>8</v>
      </c>
      <c r="H7" s="1"/>
      <c r="I7" s="1"/>
      <c r="J7" s="1"/>
      <c r="K7" s="1"/>
      <c r="L7" s="1"/>
      <c r="M7" s="1"/>
      <c r="N7" s="1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6" t="s">
        <v>9</v>
      </c>
      <c r="C8" s="162" t="s">
        <v>181</v>
      </c>
      <c r="D8" s="163"/>
      <c r="E8" s="163"/>
      <c r="F8" s="164"/>
      <c r="G8" s="1"/>
      <c r="H8" s="1"/>
      <c r="I8" s="10" t="s">
        <v>10</v>
      </c>
      <c r="J8" s="1"/>
      <c r="K8" s="1"/>
      <c r="L8" s="11"/>
      <c r="M8" s="11"/>
      <c r="N8" s="1"/>
      <c r="O8" s="1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6" t="s">
        <v>11</v>
      </c>
      <c r="C9" s="162" t="s">
        <v>182</v>
      </c>
      <c r="D9" s="166"/>
      <c r="E9" s="166"/>
      <c r="F9" s="167"/>
      <c r="G9" s="1" t="s">
        <v>8</v>
      </c>
      <c r="H9" s="1"/>
      <c r="I9" s="1" t="s">
        <v>12</v>
      </c>
      <c r="J9" s="1"/>
      <c r="K9" s="1"/>
      <c r="L9" s="121">
        <f t="shared" ref="L9:L10" si="0">+M9/12</f>
        <v>59981.666666666664</v>
      </c>
      <c r="M9" s="121">
        <f>+Sensitivities!F4*E18*365</f>
        <v>719780</v>
      </c>
      <c r="N9" s="1"/>
      <c r="O9" s="1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4"/>
      <c r="D10" s="1"/>
      <c r="E10" s="1"/>
      <c r="F10" s="1"/>
      <c r="G10" s="1"/>
      <c r="H10" s="1" t="s">
        <v>8</v>
      </c>
      <c r="I10" s="1" t="s">
        <v>13</v>
      </c>
      <c r="J10" s="15"/>
      <c r="K10" s="15"/>
      <c r="L10" s="121">
        <f t="shared" si="0"/>
        <v>2083.3333333333335</v>
      </c>
      <c r="M10" s="122">
        <v>25000</v>
      </c>
      <c r="N10" s="1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 t="s">
        <v>8</v>
      </c>
      <c r="I11" s="6" t="s">
        <v>14</v>
      </c>
      <c r="J11" s="17"/>
      <c r="K11" s="17"/>
      <c r="L11" s="123">
        <f t="shared" ref="L11:M11" si="1">+SUM(L9:L10)</f>
        <v>62065</v>
      </c>
      <c r="M11" s="123">
        <f t="shared" si="1"/>
        <v>744780</v>
      </c>
      <c r="N11" s="1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9" t="s">
        <v>15</v>
      </c>
      <c r="C12" s="20" t="s">
        <v>16</v>
      </c>
      <c r="D12" s="20" t="s">
        <v>17</v>
      </c>
      <c r="E12" s="20" t="s">
        <v>18</v>
      </c>
      <c r="F12" s="20" t="s">
        <v>19</v>
      </c>
      <c r="G12" s="21" t="s">
        <v>20</v>
      </c>
      <c r="H12" s="1" t="s">
        <v>8</v>
      </c>
      <c r="I12" s="1"/>
      <c r="J12" s="1"/>
      <c r="K12" s="11"/>
      <c r="L12" s="11"/>
      <c r="M12" s="1"/>
      <c r="N12" s="1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2"/>
      <c r="B13" s="23" t="str">
        <f t="shared" ref="B13:B16" si="2">+IF(C13="","",C13&amp;" Bed")&amp;IF(OR(C13="",D13=""),""," / ")&amp;IF(D13="","",D13&amp;" Bath")</f>
        <v>8 Bed / 10 Bath</v>
      </c>
      <c r="C13" s="24">
        <v>8</v>
      </c>
      <c r="D13" s="24">
        <v>10</v>
      </c>
      <c r="E13" s="24">
        <v>1</v>
      </c>
      <c r="F13" s="112">
        <v>1972</v>
      </c>
      <c r="G13" s="25"/>
      <c r="H13" s="1" t="s">
        <v>8</v>
      </c>
      <c r="I13" s="10" t="s">
        <v>21</v>
      </c>
      <c r="J13" s="1"/>
      <c r="K13" s="11"/>
      <c r="L13" s="11"/>
      <c r="M13" s="1"/>
      <c r="N13" s="1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2"/>
      <c r="B14" s="23" t="str">
        <f t="shared" si="2"/>
        <v/>
      </c>
      <c r="C14" s="24"/>
      <c r="D14" s="24"/>
      <c r="E14" s="24"/>
      <c r="F14" s="112"/>
      <c r="G14" s="26"/>
      <c r="H14" s="1" t="s">
        <v>8</v>
      </c>
      <c r="I14" s="27" t="s">
        <v>22</v>
      </c>
      <c r="J14" s="1"/>
      <c r="K14" s="28">
        <v>0.15</v>
      </c>
      <c r="L14" s="124">
        <f t="shared" ref="L14:L15" si="3">+M14/12</f>
        <v>8997.25</v>
      </c>
      <c r="M14" s="124">
        <f>+K14*$M$9</f>
        <v>107967</v>
      </c>
      <c r="N14" s="1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2"/>
      <c r="B15" s="23" t="str">
        <f t="shared" si="2"/>
        <v/>
      </c>
      <c r="C15" s="24"/>
      <c r="D15" s="24"/>
      <c r="E15" s="24"/>
      <c r="F15" s="112"/>
      <c r="G15" s="29"/>
      <c r="H15" s="1" t="s">
        <v>8</v>
      </c>
      <c r="I15" s="27" t="s">
        <v>23</v>
      </c>
      <c r="J15" s="1"/>
      <c r="K15" s="28">
        <v>0.2</v>
      </c>
      <c r="L15" s="124">
        <f t="shared" si="3"/>
        <v>10196.883333333333</v>
      </c>
      <c r="M15" s="124">
        <f>+K15*($M$9-$M$14)</f>
        <v>122362.6</v>
      </c>
      <c r="N15" s="1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2"/>
      <c r="B16" s="23" t="str">
        <f t="shared" si="2"/>
        <v/>
      </c>
      <c r="C16" s="24"/>
      <c r="D16" s="24"/>
      <c r="E16" s="24"/>
      <c r="F16" s="112"/>
      <c r="G16" s="29"/>
      <c r="H16" s="1" t="s">
        <v>8</v>
      </c>
      <c r="I16" s="27" t="s">
        <v>24</v>
      </c>
      <c r="J16" s="1"/>
      <c r="K16" s="22"/>
      <c r="L16" s="124">
        <f>+(SUMIFS(Index!$C$3:$C$25,Index!$B$3:$B$25,Overview!C13&amp;"/"&amp;Overview!D13)*E13)+(SUMIFS(Index!$C$3:$C$25,Index!$B$3:$B$25,Overview!C14&amp;"/"&amp;Overview!D14)*E14)+(SUMIFS(Index!$C$3:$C$25,Index!$B$3:$B$25,Overview!C15&amp;"/"&amp;Overview!D15)*E15)+(SUMIFS(Index!$C$3:$C$25,Index!$B$3:$B$25,Overview!C16&amp;"/"&amp;Overview!D16)*E16)+(SUMIFS(Index!$C$3:$C$25,Index!$B$3:$B$25,Overview!C17&amp;"/"&amp;Overview!D17)*E17)</f>
        <v>0</v>
      </c>
      <c r="M16" s="124">
        <f>+L16*12</f>
        <v>0</v>
      </c>
      <c r="N16" s="1"/>
      <c r="O16" s="1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30"/>
      <c r="C17" s="31"/>
      <c r="D17" s="31"/>
      <c r="E17" s="31"/>
      <c r="F17" s="113"/>
      <c r="G17" s="32"/>
      <c r="H17" s="1"/>
      <c r="I17" s="6" t="s">
        <v>26</v>
      </c>
      <c r="J17" s="17"/>
      <c r="K17" s="17"/>
      <c r="L17" s="125">
        <f t="shared" ref="L17:M17" si="4">+SUM(L14:L16)</f>
        <v>19194.133333333331</v>
      </c>
      <c r="M17" s="125">
        <f t="shared" si="4"/>
        <v>230329.60000000001</v>
      </c>
      <c r="N17" s="1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3" t="s">
        <v>27</v>
      </c>
      <c r="C18" s="7">
        <f t="shared" ref="C18:D18" si="5">+SUMPRODUCT(C13:C17,$E$13:$E$17)</f>
        <v>8</v>
      </c>
      <c r="D18" s="7">
        <f t="shared" si="5"/>
        <v>10</v>
      </c>
      <c r="E18" s="7">
        <f>+SUM(E13:E17)</f>
        <v>1</v>
      </c>
      <c r="F18" s="114">
        <f>+SUMPRODUCT(F13:F17,E13:E17)</f>
        <v>1972</v>
      </c>
      <c r="G18" s="5"/>
      <c r="H18" s="1"/>
      <c r="I18" s="27"/>
      <c r="J18" s="1"/>
      <c r="K18" s="1"/>
      <c r="L18" s="1"/>
      <c r="M18" s="33"/>
      <c r="N18" s="1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34" t="s">
        <v>28</v>
      </c>
      <c r="C19" s="35"/>
      <c r="D19" s="35"/>
      <c r="E19" s="35"/>
      <c r="F19" s="115">
        <f>+IFERROR(SUMPRODUCT(F13:F17,$E$13:$E$17)/SUM($E$13:$E$17),0)</f>
        <v>1972</v>
      </c>
      <c r="G19" s="36"/>
      <c r="H19" s="1"/>
      <c r="I19" s="4" t="s">
        <v>184</v>
      </c>
      <c r="J19" s="4"/>
      <c r="K19" s="4"/>
      <c r="L19" s="126">
        <f t="shared" ref="L19:M19" si="6">+L11-L17</f>
        <v>42870.866666666669</v>
      </c>
      <c r="M19" s="126">
        <f t="shared" si="6"/>
        <v>514450.4</v>
      </c>
      <c r="N19" s="1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37"/>
      <c r="C20" s="38"/>
      <c r="D20" s="38"/>
      <c r="E20" s="38"/>
      <c r="F20" s="39"/>
      <c r="G20" s="37"/>
      <c r="H20" s="1"/>
      <c r="I20" s="27"/>
      <c r="J20" s="1"/>
      <c r="K20" s="1"/>
      <c r="L20" s="127"/>
      <c r="M20" s="127"/>
      <c r="N20" s="1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0" t="s">
        <v>29</v>
      </c>
      <c r="J21" s="1"/>
      <c r="K21" s="1"/>
      <c r="L21" s="128"/>
      <c r="M21" s="128"/>
      <c r="N21" s="1"/>
      <c r="O21" s="2"/>
      <c r="P21" s="1"/>
      <c r="Q21" s="40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58" t="s">
        <v>30</v>
      </c>
      <c r="C22" s="159"/>
      <c r="D22" s="159"/>
      <c r="E22" s="159"/>
      <c r="F22" s="159"/>
      <c r="G22" s="160"/>
      <c r="H22" s="22"/>
      <c r="I22" s="41" t="s">
        <v>31</v>
      </c>
      <c r="J22" s="1"/>
      <c r="K22" s="1"/>
      <c r="L22" s="129">
        <v>1600</v>
      </c>
      <c r="M22" s="130">
        <f t="shared" ref="M22:M24" si="7">+L22*12</f>
        <v>19200</v>
      </c>
      <c r="N22" s="1"/>
      <c r="O22" s="2" t="s">
        <v>186</v>
      </c>
      <c r="P22" s="1"/>
      <c r="Q22" s="40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42" t="s">
        <v>32</v>
      </c>
      <c r="E23" s="42" t="s">
        <v>183</v>
      </c>
      <c r="F23" s="156" t="s">
        <v>6</v>
      </c>
      <c r="G23" s="157"/>
      <c r="H23" s="22"/>
      <c r="I23" s="41" t="s">
        <v>33</v>
      </c>
      <c r="J23" s="1"/>
      <c r="K23" s="1"/>
      <c r="L23" s="129">
        <v>530</v>
      </c>
      <c r="M23" s="130">
        <f t="shared" si="7"/>
        <v>6360</v>
      </c>
      <c r="N23" s="1"/>
      <c r="O23" s="2" t="s">
        <v>187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41" t="s">
        <v>34</v>
      </c>
      <c r="C24" s="22"/>
      <c r="D24" s="22"/>
      <c r="E24" s="116">
        <v>6500000</v>
      </c>
      <c r="F24" s="43"/>
      <c r="G24" s="13"/>
      <c r="H24" s="22"/>
      <c r="I24" s="41" t="s">
        <v>35</v>
      </c>
      <c r="J24" s="1"/>
      <c r="K24" s="44"/>
      <c r="L24" s="129">
        <v>0</v>
      </c>
      <c r="M24" s="130">
        <f t="shared" si="7"/>
        <v>0</v>
      </c>
      <c r="N24" s="1"/>
      <c r="O24" s="2" t="s">
        <v>188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41" t="s">
        <v>36</v>
      </c>
      <c r="C25" s="22"/>
      <c r="D25" s="45">
        <v>0.155</v>
      </c>
      <c r="E25" s="117">
        <f>+E24*D25</f>
        <v>1007500</v>
      </c>
      <c r="F25" s="43"/>
      <c r="G25" s="13"/>
      <c r="H25" s="22"/>
      <c r="I25" s="41" t="s">
        <v>37</v>
      </c>
      <c r="J25" s="1"/>
      <c r="K25" s="28">
        <v>2.5000000000000001E-2</v>
      </c>
      <c r="L25" s="130">
        <f t="shared" ref="L25:L27" si="8">+M25/12</f>
        <v>1499.5416666666667</v>
      </c>
      <c r="M25" s="130">
        <f t="shared" ref="M25:M26" si="9">+K25*$M$9</f>
        <v>17994.5</v>
      </c>
      <c r="N25" s="1"/>
      <c r="O25" s="2" t="s">
        <v>190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41" t="s">
        <v>38</v>
      </c>
      <c r="C26" s="22"/>
      <c r="D26" s="22"/>
      <c r="E26" s="116">
        <v>1250000</v>
      </c>
      <c r="F26" s="43" t="s">
        <v>39</v>
      </c>
      <c r="G26" s="9"/>
      <c r="H26" s="22"/>
      <c r="I26" s="41" t="s">
        <v>40</v>
      </c>
      <c r="J26" s="1"/>
      <c r="K26" s="28">
        <v>0.03</v>
      </c>
      <c r="L26" s="130">
        <f t="shared" si="8"/>
        <v>1799.4499999999998</v>
      </c>
      <c r="M26" s="130">
        <f t="shared" si="9"/>
        <v>21593.399999999998</v>
      </c>
      <c r="N26" s="1"/>
      <c r="O26" s="2" t="s">
        <v>191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41" t="s">
        <v>41</v>
      </c>
      <c r="C27" s="22"/>
      <c r="D27" s="22"/>
      <c r="E27" s="116">
        <v>500000</v>
      </c>
      <c r="F27" s="43" t="s">
        <v>25</v>
      </c>
      <c r="G27" s="9"/>
      <c r="H27" s="22"/>
      <c r="I27" s="41" t="s">
        <v>42</v>
      </c>
      <c r="J27" s="1"/>
      <c r="K27" s="22"/>
      <c r="L27" s="130">
        <f t="shared" si="8"/>
        <v>50</v>
      </c>
      <c r="M27" s="129">
        <v>600</v>
      </c>
      <c r="N27" s="1"/>
      <c r="O27" s="2" t="s">
        <v>189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41" t="s">
        <v>43</v>
      </c>
      <c r="C28" s="22"/>
      <c r="D28" s="22"/>
      <c r="E28" s="116">
        <v>10000</v>
      </c>
      <c r="F28" s="43" t="s">
        <v>44</v>
      </c>
      <c r="G28" s="9"/>
      <c r="H28" s="1"/>
      <c r="I28" s="6" t="s">
        <v>26</v>
      </c>
      <c r="J28" s="17"/>
      <c r="K28" s="17"/>
      <c r="L28" s="131">
        <f t="shared" ref="L28:M28" si="10">+SUM(L22:L27)</f>
        <v>5478.9916666666668</v>
      </c>
      <c r="M28" s="131">
        <f t="shared" si="10"/>
        <v>65747.899999999994</v>
      </c>
      <c r="N28" s="1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46" t="s">
        <v>45</v>
      </c>
      <c r="C29" s="1"/>
      <c r="D29" s="1"/>
      <c r="E29" s="118">
        <f>+Sensitivities!F6+E25+Sensitivities!F8+Overview!E27+Overview!E28</f>
        <v>9267500</v>
      </c>
      <c r="F29" s="43"/>
      <c r="G29" s="13"/>
      <c r="H29" s="1"/>
      <c r="I29" s="1"/>
      <c r="J29" s="1"/>
      <c r="K29" s="1"/>
      <c r="L29" s="132"/>
      <c r="M29" s="132"/>
      <c r="N29" s="1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22"/>
      <c r="G30" s="22"/>
      <c r="H30" s="1"/>
      <c r="I30" s="47" t="s">
        <v>46</v>
      </c>
      <c r="J30" s="47"/>
      <c r="K30" s="47"/>
      <c r="L30" s="126">
        <f t="shared" ref="L30:M30" si="11">+L19-L28</f>
        <v>37391.875</v>
      </c>
      <c r="M30" s="126">
        <f t="shared" si="11"/>
        <v>448702.5</v>
      </c>
      <c r="N30" s="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58" t="s">
        <v>47</v>
      </c>
      <c r="C31" s="159"/>
      <c r="D31" s="159"/>
      <c r="E31" s="159"/>
      <c r="F31" s="159"/>
      <c r="G31" s="160"/>
      <c r="H31" s="1"/>
      <c r="I31" s="1"/>
      <c r="J31" s="1"/>
      <c r="K31" s="1"/>
      <c r="L31" s="128"/>
      <c r="M31" s="128"/>
      <c r="N31" s="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42" t="s">
        <v>32</v>
      </c>
      <c r="E32" s="42" t="s">
        <v>183</v>
      </c>
      <c r="F32" s="156" t="s">
        <v>6</v>
      </c>
      <c r="G32" s="157"/>
      <c r="H32" s="1"/>
      <c r="I32" s="22" t="s">
        <v>48</v>
      </c>
      <c r="J32" s="22"/>
      <c r="K32" s="22"/>
      <c r="L32" s="130">
        <f>+M32/12</f>
        <v>12187.5</v>
      </c>
      <c r="M32" s="130">
        <f>+IFERROR(IF(E37="Amortization",-PMT(E36,E38,E34),IF(E37="Interest Only",E34*E36,0)),0)</f>
        <v>146250</v>
      </c>
      <c r="N32" s="1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22" t="s">
        <v>49</v>
      </c>
      <c r="C33" s="1"/>
      <c r="D33" s="48">
        <v>0.4</v>
      </c>
      <c r="E33" s="119">
        <f>+Sensitivities!F6*D33</f>
        <v>2600000</v>
      </c>
      <c r="F33" s="43" t="s">
        <v>50</v>
      </c>
      <c r="G33" s="9"/>
      <c r="H33" s="1"/>
      <c r="I33" s="1"/>
      <c r="J33" s="1"/>
      <c r="K33" s="1"/>
      <c r="L33" s="128"/>
      <c r="M33" s="128"/>
      <c r="N33" s="1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22" t="s">
        <v>51</v>
      </c>
      <c r="C34" s="1"/>
      <c r="D34" s="22"/>
      <c r="E34" s="119">
        <f>+Sensitivities!F6-E33</f>
        <v>3900000</v>
      </c>
      <c r="F34" s="43"/>
      <c r="G34" s="13"/>
      <c r="H34" s="1"/>
      <c r="I34" s="4" t="s">
        <v>52</v>
      </c>
      <c r="J34" s="4"/>
      <c r="K34" s="4"/>
      <c r="L34" s="126">
        <f t="shared" ref="L34:M34" si="12">+L30-SUM(L32)</f>
        <v>25204.375</v>
      </c>
      <c r="M34" s="126">
        <f t="shared" si="12"/>
        <v>302452.5</v>
      </c>
      <c r="N34" s="1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22" t="s">
        <v>53</v>
      </c>
      <c r="C35" s="1"/>
      <c r="D35" s="45">
        <v>0.03</v>
      </c>
      <c r="E35" s="119">
        <f>+E34*D35</f>
        <v>117000</v>
      </c>
      <c r="F35" s="43" t="s">
        <v>54</v>
      </c>
      <c r="G35" s="13"/>
      <c r="H35" s="1"/>
      <c r="I35" s="22"/>
      <c r="J35" s="22"/>
      <c r="K35" s="22"/>
      <c r="L35" s="22"/>
      <c r="M35" s="22"/>
      <c r="N35" s="1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22" t="s">
        <v>55</v>
      </c>
      <c r="C36" s="1"/>
      <c r="D36" s="22"/>
      <c r="E36" s="49">
        <v>3.7499999999999999E-2</v>
      </c>
      <c r="F36" s="43" t="s">
        <v>50</v>
      </c>
      <c r="G36" s="9"/>
      <c r="H36" s="1"/>
      <c r="I36" s="22"/>
      <c r="J36" s="6"/>
      <c r="K36" s="4" t="s">
        <v>56</v>
      </c>
      <c r="L36" s="4"/>
      <c r="M36" s="50">
        <f>+IFERROR(M11/Sensitivities!F6,0)</f>
        <v>0.11458153846153846</v>
      </c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22" t="s">
        <v>57</v>
      </c>
      <c r="C37" s="1"/>
      <c r="D37" s="22"/>
      <c r="E37" s="51" t="s">
        <v>192</v>
      </c>
      <c r="F37" s="43"/>
      <c r="G37" s="13"/>
      <c r="H37" s="1"/>
      <c r="I37" s="22"/>
      <c r="J37" s="6"/>
      <c r="K37" s="4" t="s">
        <v>58</v>
      </c>
      <c r="L37" s="4"/>
      <c r="M37" s="50">
        <f>+IFERROR(M34/E39,0)</f>
        <v>5.5146777281429485E-2</v>
      </c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22" t="s">
        <v>59</v>
      </c>
      <c r="C38" s="1"/>
      <c r="D38" s="22"/>
      <c r="E38" s="52">
        <v>10</v>
      </c>
      <c r="F38" s="43"/>
      <c r="G38" s="2"/>
      <c r="H38" s="1"/>
      <c r="I38" s="22"/>
      <c r="J38" s="6"/>
      <c r="K38" s="4" t="s">
        <v>60</v>
      </c>
      <c r="L38" s="4"/>
      <c r="M38" s="50">
        <f>+IFERROR(M30/E24,0)</f>
        <v>6.9031153846153839E-2</v>
      </c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6" t="s">
        <v>61</v>
      </c>
      <c r="C39" s="6"/>
      <c r="D39" s="6"/>
      <c r="E39" s="120">
        <f>+E29-E34+E35</f>
        <v>5484500</v>
      </c>
      <c r="F39" s="43"/>
      <c r="G39" s="2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3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7"/>
      <c r="C86" s="54"/>
      <c r="D86" s="1"/>
      <c r="E86" s="1"/>
      <c r="F86" s="1"/>
      <c r="G86" s="1"/>
      <c r="H86" s="1"/>
      <c r="I86" s="27"/>
      <c r="J86" s="1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7"/>
      <c r="C87" s="54"/>
      <c r="D87" s="1"/>
      <c r="E87" s="1"/>
      <c r="F87" s="1"/>
      <c r="G87" s="1"/>
      <c r="H87" s="1"/>
      <c r="I87" s="27"/>
      <c r="J87" s="1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7"/>
      <c r="C88" s="54"/>
      <c r="D88" s="1"/>
      <c r="E88" s="1"/>
      <c r="F88" s="1"/>
      <c r="G88" s="1"/>
      <c r="H88" s="1"/>
      <c r="I88" s="27"/>
      <c r="J88" s="1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7"/>
      <c r="C89" s="54"/>
      <c r="D89" s="1"/>
      <c r="E89" s="1"/>
      <c r="F89" s="1"/>
      <c r="G89" s="1"/>
      <c r="H89" s="1"/>
      <c r="I89" s="27"/>
      <c r="J89" s="1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7"/>
      <c r="C90" s="54"/>
      <c r="D90" s="1"/>
      <c r="E90" s="1"/>
      <c r="F90" s="1"/>
      <c r="G90" s="1"/>
      <c r="H90" s="1"/>
      <c r="I90" s="27"/>
      <c r="J90" s="1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7"/>
      <c r="C91" s="54"/>
      <c r="D91" s="1"/>
      <c r="E91" s="1"/>
      <c r="F91" s="1"/>
      <c r="G91" s="1"/>
      <c r="H91" s="1"/>
      <c r="I91" s="27"/>
      <c r="J91" s="1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7"/>
      <c r="C92" s="5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7"/>
      <c r="C93" s="5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7"/>
      <c r="C94" s="5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7"/>
      <c r="C95" s="5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7"/>
      <c r="C96" s="5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7"/>
      <c r="C97" s="5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7"/>
      <c r="C98" s="5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7"/>
      <c r="C99" s="5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7"/>
      <c r="C100" s="5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7"/>
      <c r="C101" s="5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7"/>
      <c r="C102" s="5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7"/>
      <c r="C103" s="5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7"/>
      <c r="C104" s="5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7"/>
      <c r="C105" s="5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7"/>
      <c r="C106" s="5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7"/>
      <c r="C107" s="5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7"/>
      <c r="C108" s="5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7"/>
      <c r="C109" s="5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7"/>
      <c r="C110" s="5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7"/>
      <c r="C111" s="5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7"/>
      <c r="C112" s="5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7"/>
      <c r="C113" s="5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7"/>
      <c r="C114" s="5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7"/>
      <c r="C115" s="5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7"/>
      <c r="C116" s="5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7"/>
      <c r="C117" s="5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7"/>
      <c r="C118" s="5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7"/>
      <c r="C119" s="5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7"/>
      <c r="C120" s="5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7"/>
      <c r="C121" s="5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7"/>
      <c r="C122" s="5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7"/>
      <c r="C123" s="5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7"/>
      <c r="C124" s="5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7"/>
      <c r="C125" s="5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7"/>
      <c r="C126" s="5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7"/>
      <c r="C127" s="5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7"/>
      <c r="C128" s="5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7"/>
      <c r="C129" s="5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7"/>
      <c r="C130" s="5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7"/>
      <c r="C131" s="5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7"/>
      <c r="C132" s="5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7"/>
      <c r="C133" s="5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7"/>
      <c r="C134" s="5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7"/>
      <c r="C135" s="5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7"/>
      <c r="C136" s="5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7"/>
      <c r="C137" s="5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7"/>
      <c r="C138" s="5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7"/>
      <c r="C139" s="5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7"/>
      <c r="C140" s="5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7"/>
      <c r="C141" s="5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7"/>
      <c r="C142" s="5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7"/>
      <c r="C143" s="5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7"/>
      <c r="C144" s="5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7"/>
      <c r="C145" s="5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7"/>
      <c r="C146" s="5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7"/>
      <c r="C147" s="5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7"/>
      <c r="C148" s="5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7"/>
      <c r="C149" s="5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7"/>
      <c r="C150" s="5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7"/>
      <c r="C151" s="5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7"/>
      <c r="C152" s="5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7"/>
      <c r="C153" s="5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7"/>
      <c r="C154" s="5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7"/>
      <c r="C155" s="5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7"/>
      <c r="C156" s="5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7"/>
      <c r="C157" s="5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7"/>
      <c r="C158" s="5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7"/>
      <c r="C159" s="5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7"/>
      <c r="C160" s="5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7"/>
      <c r="C161" s="5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7"/>
      <c r="C162" s="5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7"/>
      <c r="C163" s="5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7"/>
      <c r="C164" s="5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7"/>
      <c r="C165" s="5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7"/>
      <c r="C166" s="5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7"/>
      <c r="C167" s="5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7"/>
      <c r="C168" s="5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7"/>
      <c r="C169" s="5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7"/>
      <c r="C170" s="5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7"/>
      <c r="C171" s="5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7"/>
      <c r="C172" s="5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7"/>
      <c r="C173" s="5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7"/>
      <c r="C174" s="5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1">
    <mergeCell ref="B2:F2"/>
    <mergeCell ref="F32:G32"/>
    <mergeCell ref="B4:G4"/>
    <mergeCell ref="I4:M4"/>
    <mergeCell ref="C6:F6"/>
    <mergeCell ref="C7:F7"/>
    <mergeCell ref="C8:F8"/>
    <mergeCell ref="C9:F9"/>
    <mergeCell ref="B22:G22"/>
    <mergeCell ref="F23:G23"/>
    <mergeCell ref="B31:G31"/>
  </mergeCells>
  <dataValidations count="1">
    <dataValidation type="list" allowBlank="1" showErrorMessage="1" sqref="E37" xr:uid="{00000000-0002-0000-0000-000000000000}">
      <formula1>"Amortization,Interest Only"</formula1>
    </dataValidation>
  </dataValidations>
  <printOptions horizontalCentered="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zoomScale="110" zoomScaleNormal="110" workbookViewId="0">
      <pane ySplit="12" topLeftCell="A49" activePane="bottomLeft" state="frozen"/>
      <selection pane="bottomLeft" activeCell="D66" sqref="D66"/>
    </sheetView>
  </sheetViews>
  <sheetFormatPr baseColWidth="10" defaultColWidth="11.1640625" defaultRowHeight="15" customHeight="1"/>
  <cols>
    <col min="1" max="1" width="8.6640625" customWidth="1"/>
    <col min="2" max="2" width="25.33203125" customWidth="1"/>
    <col min="3" max="3" width="10.6640625" customWidth="1"/>
    <col min="4" max="13" width="13.5" customWidth="1"/>
    <col min="14" max="14" width="16.5" customWidth="1"/>
    <col min="15" max="15" width="13.5" customWidth="1"/>
    <col min="16" max="26" width="8.6640625" customWidth="1"/>
  </cols>
  <sheetData>
    <row r="1" spans="1:26" ht="12.75" customHeight="1">
      <c r="A1" s="55"/>
      <c r="B1" s="55"/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2.75" customHeight="1">
      <c r="A2" s="55"/>
      <c r="B2" s="57" t="s">
        <v>62</v>
      </c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2.75" customHeight="1">
      <c r="A3" s="55"/>
      <c r="B3" s="58" t="s">
        <v>63</v>
      </c>
      <c r="C3" s="16">
        <v>10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2.75" customHeight="1">
      <c r="A4" s="55"/>
      <c r="B4" s="58" t="s">
        <v>64</v>
      </c>
      <c r="C4" s="59">
        <v>0.04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>
      <c r="A5" s="55"/>
      <c r="B5" s="58" t="s">
        <v>65</v>
      </c>
      <c r="C5" s="51" t="s">
        <v>66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2.75" customHeight="1">
      <c r="A6" s="55"/>
      <c r="B6" s="60" t="str">
        <f>+IF(C5="","",IF(C5="Appreciation","Annual Amount",IF(C5="Cap Rate","Cap Rate")))</f>
        <v>Annual Amount</v>
      </c>
      <c r="C6" s="59">
        <v>0.08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2.75" customHeight="1">
      <c r="A7" s="55"/>
      <c r="B7" s="58"/>
      <c r="C7" s="5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>
      <c r="A8" s="55"/>
      <c r="B8" s="57" t="s">
        <v>67</v>
      </c>
      <c r="C8" s="55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2.75" customHeight="1">
      <c r="A9" s="55"/>
      <c r="B9" s="58" t="s">
        <v>68</v>
      </c>
      <c r="C9" s="55"/>
      <c r="D9" s="61"/>
      <c r="E9" s="59">
        <v>2.5000000000000001E-2</v>
      </c>
      <c r="F9" s="59">
        <f t="shared" ref="F9:O9" si="0">+E9</f>
        <v>2.5000000000000001E-2</v>
      </c>
      <c r="G9" s="59">
        <f t="shared" si="0"/>
        <v>2.5000000000000001E-2</v>
      </c>
      <c r="H9" s="59">
        <f t="shared" si="0"/>
        <v>2.5000000000000001E-2</v>
      </c>
      <c r="I9" s="59">
        <f t="shared" si="0"/>
        <v>2.5000000000000001E-2</v>
      </c>
      <c r="J9" s="59">
        <f t="shared" si="0"/>
        <v>2.5000000000000001E-2</v>
      </c>
      <c r="K9" s="59">
        <f t="shared" si="0"/>
        <v>2.5000000000000001E-2</v>
      </c>
      <c r="L9" s="59">
        <f t="shared" si="0"/>
        <v>2.5000000000000001E-2</v>
      </c>
      <c r="M9" s="59">
        <f t="shared" si="0"/>
        <v>2.5000000000000001E-2</v>
      </c>
      <c r="N9" s="59">
        <f t="shared" si="0"/>
        <v>2.5000000000000001E-2</v>
      </c>
      <c r="O9" s="59">
        <f t="shared" si="0"/>
        <v>2.5000000000000001E-2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2.75" customHeight="1">
      <c r="A10" s="55"/>
      <c r="B10" s="58" t="s">
        <v>69</v>
      </c>
      <c r="C10" s="55"/>
      <c r="D10" s="61"/>
      <c r="E10" s="59">
        <v>0.02</v>
      </c>
      <c r="F10" s="59">
        <f t="shared" ref="F10:O10" si="1">+E10</f>
        <v>0.02</v>
      </c>
      <c r="G10" s="59">
        <f t="shared" si="1"/>
        <v>0.02</v>
      </c>
      <c r="H10" s="59">
        <f t="shared" si="1"/>
        <v>0.02</v>
      </c>
      <c r="I10" s="59">
        <f t="shared" si="1"/>
        <v>0.02</v>
      </c>
      <c r="J10" s="59">
        <f t="shared" si="1"/>
        <v>0.02</v>
      </c>
      <c r="K10" s="59">
        <f t="shared" si="1"/>
        <v>0.02</v>
      </c>
      <c r="L10" s="59">
        <f t="shared" si="1"/>
        <v>0.02</v>
      </c>
      <c r="M10" s="59">
        <f t="shared" si="1"/>
        <v>0.02</v>
      </c>
      <c r="N10" s="59">
        <f t="shared" si="1"/>
        <v>0.02</v>
      </c>
      <c r="O10" s="59">
        <f t="shared" si="1"/>
        <v>0.02</v>
      </c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>
      <c r="A11" s="55"/>
      <c r="B11" s="55"/>
      <c r="C11" s="55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>
      <c r="A12" s="55"/>
      <c r="B12" s="62"/>
      <c r="C12" s="62"/>
      <c r="D12" s="63">
        <v>0</v>
      </c>
      <c r="E12" s="63">
        <f t="shared" ref="E12:O12" si="2">+D12+1</f>
        <v>1</v>
      </c>
      <c r="F12" s="63">
        <f t="shared" si="2"/>
        <v>2</v>
      </c>
      <c r="G12" s="63">
        <f t="shared" si="2"/>
        <v>3</v>
      </c>
      <c r="H12" s="63">
        <f t="shared" si="2"/>
        <v>4</v>
      </c>
      <c r="I12" s="63">
        <f t="shared" si="2"/>
        <v>5</v>
      </c>
      <c r="J12" s="63">
        <f t="shared" si="2"/>
        <v>6</v>
      </c>
      <c r="K12" s="63">
        <f t="shared" si="2"/>
        <v>7</v>
      </c>
      <c r="L12" s="63">
        <f t="shared" si="2"/>
        <v>8</v>
      </c>
      <c r="M12" s="63">
        <f t="shared" si="2"/>
        <v>9</v>
      </c>
      <c r="N12" s="63">
        <f t="shared" si="2"/>
        <v>10</v>
      </c>
      <c r="O12" s="63">
        <f t="shared" si="2"/>
        <v>11</v>
      </c>
      <c r="P12" s="64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>
      <c r="A13" s="55"/>
      <c r="B13" s="55"/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>
      <c r="A14" s="55"/>
      <c r="B14" s="57" t="s">
        <v>10</v>
      </c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>
      <c r="A15" s="55"/>
      <c r="B15" s="58" t="s">
        <v>12</v>
      </c>
      <c r="C15" s="58"/>
      <c r="D15" s="65"/>
      <c r="E15" s="139">
        <f>+Overview!M9</f>
        <v>719780</v>
      </c>
      <c r="F15" s="139">
        <f t="shared" ref="F15:O15" si="3">+E15*(1+F$9)</f>
        <v>737774.49999999988</v>
      </c>
      <c r="G15" s="139">
        <f t="shared" si="3"/>
        <v>756218.86249999981</v>
      </c>
      <c r="H15" s="139">
        <f t="shared" si="3"/>
        <v>775124.33406249969</v>
      </c>
      <c r="I15" s="139">
        <f t="shared" si="3"/>
        <v>794502.4424140621</v>
      </c>
      <c r="J15" s="139">
        <f t="shared" si="3"/>
        <v>814365.00347441353</v>
      </c>
      <c r="K15" s="139">
        <f t="shared" si="3"/>
        <v>834724.1285612738</v>
      </c>
      <c r="L15" s="139">
        <f t="shared" si="3"/>
        <v>855592.23177530558</v>
      </c>
      <c r="M15" s="139">
        <f t="shared" si="3"/>
        <v>876982.03756968817</v>
      </c>
      <c r="N15" s="139">
        <f t="shared" si="3"/>
        <v>898906.58850893029</v>
      </c>
      <c r="O15" s="139">
        <f t="shared" si="3"/>
        <v>921379.25322165352</v>
      </c>
      <c r="P15" s="58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>
      <c r="A16" s="55"/>
      <c r="B16" s="58" t="s">
        <v>13</v>
      </c>
      <c r="C16" s="66"/>
      <c r="D16" s="67"/>
      <c r="E16" s="139">
        <f>+Overview!M10</f>
        <v>25000</v>
      </c>
      <c r="F16" s="139">
        <f t="shared" ref="F16:O16" si="4">+E16*(1+F$9)</f>
        <v>25624.999999999996</v>
      </c>
      <c r="G16" s="139">
        <f t="shared" si="4"/>
        <v>26265.624999999993</v>
      </c>
      <c r="H16" s="139">
        <f t="shared" si="4"/>
        <v>26922.265624999989</v>
      </c>
      <c r="I16" s="139">
        <f t="shared" si="4"/>
        <v>27595.322265624985</v>
      </c>
      <c r="J16" s="139">
        <f t="shared" si="4"/>
        <v>28285.205322265607</v>
      </c>
      <c r="K16" s="139">
        <f t="shared" si="4"/>
        <v>28992.335455322245</v>
      </c>
      <c r="L16" s="139">
        <f t="shared" si="4"/>
        <v>29717.1438417053</v>
      </c>
      <c r="M16" s="139">
        <f t="shared" si="4"/>
        <v>30460.072437747931</v>
      </c>
      <c r="N16" s="139">
        <f t="shared" si="4"/>
        <v>31221.574248691628</v>
      </c>
      <c r="O16" s="139">
        <f t="shared" si="4"/>
        <v>32002.113604908915</v>
      </c>
      <c r="P16" s="58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>
      <c r="A17" s="55"/>
      <c r="B17" s="68" t="s">
        <v>14</v>
      </c>
      <c r="C17" s="69"/>
      <c r="D17" s="70"/>
      <c r="E17" s="140">
        <f t="shared" ref="E17:O17" si="5">+SUM(E15:E16)</f>
        <v>744780</v>
      </c>
      <c r="F17" s="140">
        <f t="shared" si="5"/>
        <v>763399.49999999988</v>
      </c>
      <c r="G17" s="140">
        <f t="shared" si="5"/>
        <v>782484.48749999981</v>
      </c>
      <c r="H17" s="140">
        <f t="shared" si="5"/>
        <v>802046.59968749969</v>
      </c>
      <c r="I17" s="140">
        <f t="shared" si="5"/>
        <v>822097.7646796871</v>
      </c>
      <c r="J17" s="140">
        <f t="shared" si="5"/>
        <v>842650.20879667916</v>
      </c>
      <c r="K17" s="140">
        <f t="shared" si="5"/>
        <v>863716.46401659609</v>
      </c>
      <c r="L17" s="140">
        <f t="shared" si="5"/>
        <v>885309.37561701087</v>
      </c>
      <c r="M17" s="140">
        <f t="shared" si="5"/>
        <v>907442.11000743613</v>
      </c>
      <c r="N17" s="140">
        <f t="shared" si="5"/>
        <v>930128.16275762196</v>
      </c>
      <c r="O17" s="140">
        <f t="shared" si="5"/>
        <v>953381.36682656244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>
      <c r="A18" s="55"/>
      <c r="B18" s="71" t="s">
        <v>56</v>
      </c>
      <c r="C18" s="72"/>
      <c r="D18" s="73"/>
      <c r="E18" s="74">
        <f>+IFERROR(E17/Overview!$E$24,0)</f>
        <v>0.11458153846153846</v>
      </c>
      <c r="F18" s="74">
        <f>+IFERROR(F17/Overview!$E$24,0)</f>
        <v>0.1174460769230769</v>
      </c>
      <c r="G18" s="74">
        <f>+IFERROR(G17/Overview!$E$24,0)</f>
        <v>0.12038222884615382</v>
      </c>
      <c r="H18" s="74">
        <f>+IFERROR(H17/Overview!$E$24,0)</f>
        <v>0.12339178456730765</v>
      </c>
      <c r="I18" s="74">
        <f>+IFERROR(I17/Overview!$E$24,0)</f>
        <v>0.12647657918149033</v>
      </c>
      <c r="J18" s="74">
        <f>+IFERROR(J17/Overview!$E$24,0)</f>
        <v>0.12963849366102756</v>
      </c>
      <c r="K18" s="74">
        <f>+IFERROR(K17/Overview!$E$24,0)</f>
        <v>0.13287945600255324</v>
      </c>
      <c r="L18" s="74">
        <f>+IFERROR(L17/Overview!$E$24,0)</f>
        <v>0.13620144240261706</v>
      </c>
      <c r="M18" s="74">
        <f>+IFERROR(M17/Overview!$E$24,0)</f>
        <v>0.13960647846268248</v>
      </c>
      <c r="N18" s="74">
        <f>+IFERROR(N17/Overview!$E$24,0)</f>
        <v>0.14309664042424952</v>
      </c>
      <c r="O18" s="74">
        <f>+IFERROR(O17/Overview!$E$24,0)</f>
        <v>0.14667405643485576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>
      <c r="A19" s="55"/>
      <c r="B19" s="55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>
      <c r="A20" s="55"/>
      <c r="B20" s="57" t="s">
        <v>21</v>
      </c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>
      <c r="A21" s="58"/>
      <c r="B21" s="60" t="s">
        <v>22</v>
      </c>
      <c r="C21" s="58"/>
      <c r="D21" s="65"/>
      <c r="E21" s="141">
        <f>+-Overview!M14</f>
        <v>-107967</v>
      </c>
      <c r="F21" s="141">
        <f t="shared" ref="F21:O21" si="6">+E21*(1+F$10)</f>
        <v>-110126.34</v>
      </c>
      <c r="G21" s="141">
        <f t="shared" si="6"/>
        <v>-112328.8668</v>
      </c>
      <c r="H21" s="141">
        <f t="shared" si="6"/>
        <v>-114575.44413600001</v>
      </c>
      <c r="I21" s="141">
        <f t="shared" si="6"/>
        <v>-116866.95301872001</v>
      </c>
      <c r="J21" s="141">
        <f t="shared" si="6"/>
        <v>-119204.29207909442</v>
      </c>
      <c r="K21" s="141">
        <f t="shared" si="6"/>
        <v>-121588.37792067631</v>
      </c>
      <c r="L21" s="141">
        <f t="shared" si="6"/>
        <v>-124020.14547908984</v>
      </c>
      <c r="M21" s="141">
        <f t="shared" si="6"/>
        <v>-126500.54838867164</v>
      </c>
      <c r="N21" s="141">
        <f t="shared" si="6"/>
        <v>-129030.55935644507</v>
      </c>
      <c r="O21" s="141">
        <f t="shared" si="6"/>
        <v>-131611.17054357397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>
      <c r="A22" s="58"/>
      <c r="B22" s="60" t="s">
        <v>23</v>
      </c>
      <c r="C22" s="58"/>
      <c r="D22" s="67"/>
      <c r="E22" s="141">
        <f>+-Overview!M15</f>
        <v>-122362.6</v>
      </c>
      <c r="F22" s="141">
        <f t="shared" ref="F22:O22" si="7">+E22*(1+F$10)</f>
        <v>-124809.85200000001</v>
      </c>
      <c r="G22" s="141">
        <f t="shared" si="7"/>
        <v>-127306.04904000001</v>
      </c>
      <c r="H22" s="141">
        <f t="shared" si="7"/>
        <v>-129852.17002080001</v>
      </c>
      <c r="I22" s="141">
        <f t="shared" si="7"/>
        <v>-132449.213421216</v>
      </c>
      <c r="J22" s="141">
        <f t="shared" si="7"/>
        <v>-135098.19768964034</v>
      </c>
      <c r="K22" s="141">
        <f t="shared" si="7"/>
        <v>-137800.16164343315</v>
      </c>
      <c r="L22" s="141">
        <f t="shared" si="7"/>
        <v>-140556.16487630183</v>
      </c>
      <c r="M22" s="141">
        <f t="shared" si="7"/>
        <v>-143367.28817382787</v>
      </c>
      <c r="N22" s="141">
        <f t="shared" si="7"/>
        <v>-146234.63393730443</v>
      </c>
      <c r="O22" s="141">
        <f t="shared" si="7"/>
        <v>-149159.32661605053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>
      <c r="A23" s="58"/>
      <c r="B23" s="60" t="s">
        <v>70</v>
      </c>
      <c r="C23" s="58"/>
      <c r="D23" s="67"/>
      <c r="E23" s="141">
        <f>+-Overview!M16</f>
        <v>0</v>
      </c>
      <c r="F23" s="141">
        <f t="shared" ref="F23:O23" si="8">+E23*(1+F$10)</f>
        <v>0</v>
      </c>
      <c r="G23" s="141">
        <f t="shared" si="8"/>
        <v>0</v>
      </c>
      <c r="H23" s="141">
        <f t="shared" si="8"/>
        <v>0</v>
      </c>
      <c r="I23" s="141">
        <f t="shared" si="8"/>
        <v>0</v>
      </c>
      <c r="J23" s="141">
        <f t="shared" si="8"/>
        <v>0</v>
      </c>
      <c r="K23" s="141">
        <f t="shared" si="8"/>
        <v>0</v>
      </c>
      <c r="L23" s="141">
        <f t="shared" si="8"/>
        <v>0</v>
      </c>
      <c r="M23" s="141">
        <f t="shared" si="8"/>
        <v>0</v>
      </c>
      <c r="N23" s="141">
        <f t="shared" si="8"/>
        <v>0</v>
      </c>
      <c r="O23" s="141">
        <f t="shared" si="8"/>
        <v>0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>
      <c r="A24" s="58"/>
      <c r="B24" s="68" t="s">
        <v>26</v>
      </c>
      <c r="C24" s="69"/>
      <c r="D24" s="70"/>
      <c r="E24" s="142">
        <f t="shared" ref="E24:O24" si="9">+SUM(E21:E23)</f>
        <v>-230329.60000000001</v>
      </c>
      <c r="F24" s="142">
        <f t="shared" si="9"/>
        <v>-234936.19200000001</v>
      </c>
      <c r="G24" s="142">
        <f t="shared" si="9"/>
        <v>-239634.91584000003</v>
      </c>
      <c r="H24" s="142">
        <f t="shared" si="9"/>
        <v>-244427.61415680003</v>
      </c>
      <c r="I24" s="142">
        <f t="shared" si="9"/>
        <v>-249316.16643993603</v>
      </c>
      <c r="J24" s="142">
        <f t="shared" si="9"/>
        <v>-254302.48976873475</v>
      </c>
      <c r="K24" s="142">
        <f t="shared" si="9"/>
        <v>-259388.53956410947</v>
      </c>
      <c r="L24" s="142">
        <f t="shared" si="9"/>
        <v>-264576.3103553917</v>
      </c>
      <c r="M24" s="142">
        <f t="shared" si="9"/>
        <v>-269867.83656249952</v>
      </c>
      <c r="N24" s="142">
        <f t="shared" si="9"/>
        <v>-275265.19329374947</v>
      </c>
      <c r="O24" s="142">
        <f t="shared" si="9"/>
        <v>-280770.49715962447</v>
      </c>
      <c r="P24" s="58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A25" s="55"/>
      <c r="B25" s="75"/>
      <c r="C25" s="55"/>
      <c r="D25" s="76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>
      <c r="A26" s="58"/>
      <c r="B26" s="77" t="s">
        <v>184</v>
      </c>
      <c r="C26" s="77"/>
      <c r="D26" s="78"/>
      <c r="E26" s="144">
        <f t="shared" ref="E26:O26" si="10">+E17+E24</f>
        <v>514450.4</v>
      </c>
      <c r="F26" s="144">
        <f t="shared" si="10"/>
        <v>528463.30799999984</v>
      </c>
      <c r="G26" s="144">
        <f t="shared" si="10"/>
        <v>542849.57165999978</v>
      </c>
      <c r="H26" s="144">
        <f t="shared" si="10"/>
        <v>557618.9855306996</v>
      </c>
      <c r="I26" s="144">
        <f t="shared" si="10"/>
        <v>572781.59823975107</v>
      </c>
      <c r="J26" s="144">
        <f t="shared" si="10"/>
        <v>588347.71902794437</v>
      </c>
      <c r="K26" s="144">
        <f t="shared" si="10"/>
        <v>604327.92445248668</v>
      </c>
      <c r="L26" s="144">
        <f t="shared" si="10"/>
        <v>620733.06526161917</v>
      </c>
      <c r="M26" s="144">
        <f t="shared" si="10"/>
        <v>637574.27344493661</v>
      </c>
      <c r="N26" s="144">
        <f t="shared" si="10"/>
        <v>654862.96946387249</v>
      </c>
      <c r="O26" s="144">
        <f t="shared" si="10"/>
        <v>672610.86966693797</v>
      </c>
      <c r="P26" s="58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2.75" customHeight="1">
      <c r="A27" s="55"/>
      <c r="B27" s="75"/>
      <c r="C27" s="55"/>
      <c r="D27" s="76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2.75" customHeight="1">
      <c r="A28" s="55"/>
      <c r="B28" s="57" t="s">
        <v>29</v>
      </c>
      <c r="C28" s="55"/>
      <c r="D28" s="56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2.75" customHeight="1">
      <c r="A29" s="55"/>
      <c r="B29" s="60" t="s">
        <v>31</v>
      </c>
      <c r="C29" s="58"/>
      <c r="D29" s="65"/>
      <c r="E29" s="145">
        <f>+-Overview!M22</f>
        <v>-19200</v>
      </c>
      <c r="F29" s="145">
        <f t="shared" ref="F29:O29" si="11">+E29*(1+F$10)</f>
        <v>-19584</v>
      </c>
      <c r="G29" s="145">
        <f t="shared" si="11"/>
        <v>-19975.68</v>
      </c>
      <c r="H29" s="145">
        <f t="shared" si="11"/>
        <v>-20375.193600000002</v>
      </c>
      <c r="I29" s="145">
        <f t="shared" si="11"/>
        <v>-20782.697472000003</v>
      </c>
      <c r="J29" s="145">
        <f t="shared" si="11"/>
        <v>-21198.351421440006</v>
      </c>
      <c r="K29" s="145">
        <f t="shared" si="11"/>
        <v>-21622.318449868806</v>
      </c>
      <c r="L29" s="145">
        <f t="shared" si="11"/>
        <v>-22054.764818866184</v>
      </c>
      <c r="M29" s="145">
        <f t="shared" si="11"/>
        <v>-22495.860115243508</v>
      </c>
      <c r="N29" s="145">
        <f t="shared" si="11"/>
        <v>-22945.777317548378</v>
      </c>
      <c r="O29" s="145">
        <f t="shared" si="11"/>
        <v>-23404.692863899345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2.75" customHeight="1">
      <c r="A30" s="55"/>
      <c r="B30" s="60" t="s">
        <v>33</v>
      </c>
      <c r="C30" s="58"/>
      <c r="D30" s="67"/>
      <c r="E30" s="145">
        <f>+-Overview!M23</f>
        <v>-6360</v>
      </c>
      <c r="F30" s="145">
        <f t="shared" ref="F30:O30" si="12">+E30*(1+F$10)</f>
        <v>-6487.2</v>
      </c>
      <c r="G30" s="145">
        <f t="shared" si="12"/>
        <v>-6616.9439999999995</v>
      </c>
      <c r="H30" s="145">
        <f t="shared" si="12"/>
        <v>-6749.2828799999997</v>
      </c>
      <c r="I30" s="145">
        <f t="shared" si="12"/>
        <v>-6884.2685375999999</v>
      </c>
      <c r="J30" s="145">
        <f t="shared" si="12"/>
        <v>-7021.9539083520003</v>
      </c>
      <c r="K30" s="145">
        <f t="shared" si="12"/>
        <v>-7162.3929865190403</v>
      </c>
      <c r="L30" s="145">
        <f t="shared" si="12"/>
        <v>-7305.640846249421</v>
      </c>
      <c r="M30" s="145">
        <f t="shared" si="12"/>
        <v>-7451.7536631744097</v>
      </c>
      <c r="N30" s="145">
        <f t="shared" si="12"/>
        <v>-7600.7887364378976</v>
      </c>
      <c r="O30" s="145">
        <f t="shared" si="12"/>
        <v>-7752.8045111666561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.75" customHeight="1">
      <c r="A31" s="55"/>
      <c r="B31" s="60" t="s">
        <v>35</v>
      </c>
      <c r="C31" s="58"/>
      <c r="D31" s="67"/>
      <c r="E31" s="145">
        <f>+-Overview!M24</f>
        <v>0</v>
      </c>
      <c r="F31" s="145">
        <f t="shared" ref="F31:O31" si="13">+E31*(1+F$10)</f>
        <v>0</v>
      </c>
      <c r="G31" s="145">
        <f t="shared" si="13"/>
        <v>0</v>
      </c>
      <c r="H31" s="145">
        <f t="shared" si="13"/>
        <v>0</v>
      </c>
      <c r="I31" s="145">
        <f t="shared" si="13"/>
        <v>0</v>
      </c>
      <c r="J31" s="145">
        <f t="shared" si="13"/>
        <v>0</v>
      </c>
      <c r="K31" s="145">
        <f t="shared" si="13"/>
        <v>0</v>
      </c>
      <c r="L31" s="145">
        <f t="shared" si="13"/>
        <v>0</v>
      </c>
      <c r="M31" s="145">
        <f t="shared" si="13"/>
        <v>0</v>
      </c>
      <c r="N31" s="145">
        <f t="shared" si="13"/>
        <v>0</v>
      </c>
      <c r="O31" s="145">
        <f t="shared" si="13"/>
        <v>0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2.75" customHeight="1">
      <c r="A32" s="55"/>
      <c r="B32" s="60" t="s">
        <v>37</v>
      </c>
      <c r="C32" s="58"/>
      <c r="D32" s="67"/>
      <c r="E32" s="145">
        <f>+-Overview!M25</f>
        <v>-17994.5</v>
      </c>
      <c r="F32" s="145">
        <f t="shared" ref="F32:O32" si="14">+E32*(1+F$10)</f>
        <v>-18354.39</v>
      </c>
      <c r="G32" s="145">
        <f t="shared" si="14"/>
        <v>-18721.477800000001</v>
      </c>
      <c r="H32" s="145">
        <f t="shared" si="14"/>
        <v>-19095.907356</v>
      </c>
      <c r="I32" s="145">
        <f t="shared" si="14"/>
        <v>-19477.825503119999</v>
      </c>
      <c r="J32" s="145">
        <f t="shared" si="14"/>
        <v>-19867.3820131824</v>
      </c>
      <c r="K32" s="145">
        <f t="shared" si="14"/>
        <v>-20264.729653446047</v>
      </c>
      <c r="L32" s="145">
        <f t="shared" si="14"/>
        <v>-20670.024246514968</v>
      </c>
      <c r="M32" s="145">
        <f t="shared" si="14"/>
        <v>-21083.424731445266</v>
      </c>
      <c r="N32" s="145">
        <f t="shared" si="14"/>
        <v>-21505.093226074172</v>
      </c>
      <c r="O32" s="145">
        <f t="shared" si="14"/>
        <v>-21935.195090595655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.75" customHeight="1">
      <c r="A33" s="55"/>
      <c r="B33" s="60" t="s">
        <v>40</v>
      </c>
      <c r="C33" s="58"/>
      <c r="D33" s="67"/>
      <c r="E33" s="145">
        <f>+-Overview!M26</f>
        <v>-21593.399999999998</v>
      </c>
      <c r="F33" s="145">
        <f t="shared" ref="F33:O33" si="15">+E33*(1+F$10)</f>
        <v>-22025.267999999996</v>
      </c>
      <c r="G33" s="145">
        <f t="shared" si="15"/>
        <v>-22465.773359999996</v>
      </c>
      <c r="H33" s="145">
        <f t="shared" si="15"/>
        <v>-22915.088827199997</v>
      </c>
      <c r="I33" s="145">
        <f t="shared" si="15"/>
        <v>-23373.390603743999</v>
      </c>
      <c r="J33" s="145">
        <f t="shared" si="15"/>
        <v>-23840.858415818879</v>
      </c>
      <c r="K33" s="145">
        <f t="shared" si="15"/>
        <v>-24317.675584135257</v>
      </c>
      <c r="L33" s="145">
        <f t="shared" si="15"/>
        <v>-24804.029095817961</v>
      </c>
      <c r="M33" s="145">
        <f t="shared" si="15"/>
        <v>-25300.109677734319</v>
      </c>
      <c r="N33" s="145">
        <f t="shared" si="15"/>
        <v>-25806.111871289006</v>
      </c>
      <c r="O33" s="145">
        <f t="shared" si="15"/>
        <v>-26322.234108714787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2.75" customHeight="1">
      <c r="A34" s="55"/>
      <c r="B34" s="60" t="s">
        <v>42</v>
      </c>
      <c r="C34" s="58"/>
      <c r="D34" s="67"/>
      <c r="E34" s="145">
        <f>+-Overview!M27</f>
        <v>-600</v>
      </c>
      <c r="F34" s="145">
        <f t="shared" ref="F34:O34" si="16">+E34*(1+F$10)</f>
        <v>-612</v>
      </c>
      <c r="G34" s="145">
        <f t="shared" si="16"/>
        <v>-624.24</v>
      </c>
      <c r="H34" s="145">
        <f t="shared" si="16"/>
        <v>-636.72480000000007</v>
      </c>
      <c r="I34" s="145">
        <f t="shared" si="16"/>
        <v>-649.45929600000011</v>
      </c>
      <c r="J34" s="145">
        <f t="shared" si="16"/>
        <v>-662.44848192000018</v>
      </c>
      <c r="K34" s="145">
        <f t="shared" si="16"/>
        <v>-675.69745155840019</v>
      </c>
      <c r="L34" s="145">
        <f t="shared" si="16"/>
        <v>-689.21140058956826</v>
      </c>
      <c r="M34" s="145">
        <f t="shared" si="16"/>
        <v>-702.99562860135961</v>
      </c>
      <c r="N34" s="145">
        <f t="shared" si="16"/>
        <v>-717.05554117338681</v>
      </c>
      <c r="O34" s="145">
        <f t="shared" si="16"/>
        <v>-731.39665199685453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.75" customHeight="1">
      <c r="A35" s="58"/>
      <c r="B35" s="68" t="s">
        <v>26</v>
      </c>
      <c r="C35" s="69"/>
      <c r="D35" s="70"/>
      <c r="E35" s="142">
        <f t="shared" ref="E35:O35" si="17">+SUM(E29:E34)</f>
        <v>-65747.899999999994</v>
      </c>
      <c r="F35" s="142">
        <f t="shared" si="17"/>
        <v>-67062.857999999993</v>
      </c>
      <c r="G35" s="142">
        <f t="shared" si="17"/>
        <v>-68404.115160000001</v>
      </c>
      <c r="H35" s="142">
        <f t="shared" si="17"/>
        <v>-69772.197463199991</v>
      </c>
      <c r="I35" s="142">
        <f t="shared" si="17"/>
        <v>-71167.641412464</v>
      </c>
      <c r="J35" s="142">
        <f t="shared" si="17"/>
        <v>-72590.994240713277</v>
      </c>
      <c r="K35" s="142">
        <f t="shared" si="17"/>
        <v>-74042.814125527555</v>
      </c>
      <c r="L35" s="142">
        <f t="shared" si="17"/>
        <v>-75523.670408038117</v>
      </c>
      <c r="M35" s="142">
        <f t="shared" si="17"/>
        <v>-77034.143816198863</v>
      </c>
      <c r="N35" s="142">
        <f t="shared" si="17"/>
        <v>-78574.826692522838</v>
      </c>
      <c r="O35" s="142">
        <f t="shared" si="17"/>
        <v>-80146.323226373293</v>
      </c>
      <c r="P35" s="58"/>
      <c r="Q35" s="58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2.75" customHeight="1">
      <c r="A36" s="58"/>
      <c r="B36" s="58"/>
      <c r="C36" s="58"/>
      <c r="D36" s="61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58"/>
      <c r="Q36" s="58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.75" customHeight="1">
      <c r="A37" s="58"/>
      <c r="B37" s="77" t="s">
        <v>46</v>
      </c>
      <c r="C37" s="77"/>
      <c r="D37" s="78"/>
      <c r="E37" s="144">
        <f t="shared" ref="E37:O37" si="18">+E26+E35</f>
        <v>448702.5</v>
      </c>
      <c r="F37" s="144">
        <f t="shared" si="18"/>
        <v>461400.44999999984</v>
      </c>
      <c r="G37" s="144">
        <f t="shared" si="18"/>
        <v>474445.4564999998</v>
      </c>
      <c r="H37" s="144">
        <f t="shared" si="18"/>
        <v>487846.78806749964</v>
      </c>
      <c r="I37" s="144">
        <f t="shared" si="18"/>
        <v>501613.9568272871</v>
      </c>
      <c r="J37" s="144">
        <f t="shared" si="18"/>
        <v>515756.72478723107</v>
      </c>
      <c r="K37" s="144">
        <f t="shared" si="18"/>
        <v>530285.11032695917</v>
      </c>
      <c r="L37" s="144">
        <f t="shared" si="18"/>
        <v>545209.39485358109</v>
      </c>
      <c r="M37" s="144">
        <f t="shared" si="18"/>
        <v>560540.12962873769</v>
      </c>
      <c r="N37" s="144">
        <f t="shared" si="18"/>
        <v>576288.14277134964</v>
      </c>
      <c r="O37" s="144">
        <f t="shared" si="18"/>
        <v>592464.54644056468</v>
      </c>
      <c r="P37" s="58"/>
      <c r="Q37" s="58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2.75" customHeight="1">
      <c r="A38" s="58"/>
      <c r="B38" s="71" t="s">
        <v>71</v>
      </c>
      <c r="C38" s="68"/>
      <c r="D38" s="70"/>
      <c r="E38" s="74">
        <f t="shared" ref="E38:O38" si="19">+IFERROR(E37/-$D$46,0)</f>
        <v>4.8416779066630701E-2</v>
      </c>
      <c r="F38" s="74">
        <f t="shared" si="19"/>
        <v>4.9786938224979753E-2</v>
      </c>
      <c r="G38" s="74">
        <f t="shared" si="19"/>
        <v>5.1194546155921207E-2</v>
      </c>
      <c r="H38" s="74">
        <f t="shared" si="19"/>
        <v>5.2640602974642528E-2</v>
      </c>
      <c r="I38" s="74">
        <f t="shared" si="19"/>
        <v>5.4126135077128365E-2</v>
      </c>
      <c r="J38" s="74">
        <f t="shared" si="19"/>
        <v>5.5652195822738719E-2</v>
      </c>
      <c r="K38" s="74">
        <f t="shared" si="19"/>
        <v>5.7219866234363009E-2</v>
      </c>
      <c r="L38" s="74">
        <f t="shared" si="19"/>
        <v>5.8830255716598986E-2</v>
      </c>
      <c r="M38" s="74">
        <f t="shared" si="19"/>
        <v>6.0484502792418418E-2</v>
      </c>
      <c r="N38" s="74">
        <f t="shared" si="19"/>
        <v>6.2183775858791437E-2</v>
      </c>
      <c r="O38" s="74">
        <f t="shared" si="19"/>
        <v>6.3929273961755018E-2</v>
      </c>
      <c r="P38" s="58"/>
      <c r="Q38" s="58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2.75" customHeight="1">
      <c r="A39" s="55"/>
      <c r="B39" s="55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2.75" customHeight="1">
      <c r="A40" s="55"/>
      <c r="B40" s="57" t="s">
        <v>30</v>
      </c>
      <c r="C40" s="55"/>
      <c r="D40" s="5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2.75" customHeight="1">
      <c r="A41" s="55"/>
      <c r="B41" s="58" t="s">
        <v>34</v>
      </c>
      <c r="C41" s="58"/>
      <c r="D41" s="146">
        <f>+-IF(D$12=0,Sensitivities!$F$6,0)</f>
        <v>-6500000</v>
      </c>
      <c r="E41" s="146">
        <f>+-IF(E$12=0,Sensitivities!$F$6,0)</f>
        <v>0</v>
      </c>
      <c r="F41" s="146">
        <f>+-IF(F$12=0,Sensitivities!$F$6,0)</f>
        <v>0</v>
      </c>
      <c r="G41" s="146">
        <f>+-IF(G$12=0,Sensitivities!$F$6,0)</f>
        <v>0</v>
      </c>
      <c r="H41" s="146">
        <f>+-IF(H$12=0,Sensitivities!$F$6,0)</f>
        <v>0</v>
      </c>
      <c r="I41" s="146">
        <f>+-IF(I$12=0,Sensitivities!$F$6,0)</f>
        <v>0</v>
      </c>
      <c r="J41" s="146">
        <f>+-IF(J$12=0,Sensitivities!$F$6,0)</f>
        <v>0</v>
      </c>
      <c r="K41" s="146">
        <f>+-IF(K$12=0,Sensitivities!$F$6,0)</f>
        <v>0</v>
      </c>
      <c r="L41" s="146">
        <f>+-IF(L$12=0,Sensitivities!$F$6,0)</f>
        <v>0</v>
      </c>
      <c r="M41" s="146">
        <f>+-IF(M$12=0,Sensitivities!$F$6,0)</f>
        <v>0</v>
      </c>
      <c r="N41" s="146">
        <f>+-IF(N$12=0,Sensitivities!$F$6,0)</f>
        <v>0</v>
      </c>
      <c r="O41" s="146">
        <f>+-IF(O$12=0,Sensitivities!$F$6,0)</f>
        <v>0</v>
      </c>
      <c r="P41" s="58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2.75" customHeight="1">
      <c r="A42" s="55"/>
      <c r="B42" s="58" t="s">
        <v>36</v>
      </c>
      <c r="C42" s="58"/>
      <c r="D42" s="146">
        <f>+-IF(D$12=0,Overview!$E25,0)</f>
        <v>-1007500</v>
      </c>
      <c r="E42" s="146">
        <f>+-IF(E$12=0,Overview!$E25,0)</f>
        <v>0</v>
      </c>
      <c r="F42" s="146">
        <f>+-IF(F$12=0,Overview!$E25,0)</f>
        <v>0</v>
      </c>
      <c r="G42" s="146">
        <f>+-IF(G$12=0,Overview!$E25,0)</f>
        <v>0</v>
      </c>
      <c r="H42" s="146">
        <f>+-IF(H$12=0,Overview!$E25,0)</f>
        <v>0</v>
      </c>
      <c r="I42" s="146">
        <f>+-IF(I$12=0,Overview!$E25,0)</f>
        <v>0</v>
      </c>
      <c r="J42" s="146">
        <f>+-IF(J$12=0,Overview!$E25,0)</f>
        <v>0</v>
      </c>
      <c r="K42" s="146">
        <f>+-IF(K$12=0,Overview!$E25,0)</f>
        <v>0</v>
      </c>
      <c r="L42" s="146">
        <f>+-IF(L$12=0,Overview!$E25,0)</f>
        <v>0</v>
      </c>
      <c r="M42" s="146">
        <f>+-IF(M$12=0,Overview!$E25,0)</f>
        <v>0</v>
      </c>
      <c r="N42" s="146">
        <f>+-IF(N$12=0,Overview!$E25,0)</f>
        <v>0</v>
      </c>
      <c r="O42" s="146">
        <f>+-IF(O$12=0,Overview!$E25,0)</f>
        <v>0</v>
      </c>
      <c r="P42" s="58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2.75" customHeight="1">
      <c r="A43" s="55"/>
      <c r="B43" s="58" t="s">
        <v>38</v>
      </c>
      <c r="C43" s="58"/>
      <c r="D43" s="146">
        <f>+-IF(D$12=0,Sensitivities!$H$8,0)</f>
        <v>-1250000</v>
      </c>
      <c r="E43" s="146">
        <f>+-IF(E$12=0,Sensitivities!$H$8,0)</f>
        <v>0</v>
      </c>
      <c r="F43" s="146">
        <f>+-IF(F$12=0,Sensitivities!$H$8,0)</f>
        <v>0</v>
      </c>
      <c r="G43" s="146">
        <f>+-IF(G$12=0,Sensitivities!$H$8,0)</f>
        <v>0</v>
      </c>
      <c r="H43" s="146">
        <f>+-IF(H$12=0,Sensitivities!$H$8,0)</f>
        <v>0</v>
      </c>
      <c r="I43" s="146">
        <f>+-IF(I$12=0,Sensitivities!$H$8,0)</f>
        <v>0</v>
      </c>
      <c r="J43" s="146">
        <f>+-IF(J$12=0,Sensitivities!$H$8,0)</f>
        <v>0</v>
      </c>
      <c r="K43" s="146">
        <f>+-IF(K$12=0,Sensitivities!$H$8,0)</f>
        <v>0</v>
      </c>
      <c r="L43" s="146">
        <f>+-IF(L$12=0,Sensitivities!$H$8,0)</f>
        <v>0</v>
      </c>
      <c r="M43" s="146">
        <f>+-IF(M$12=0,Sensitivities!$H$8,0)</f>
        <v>0</v>
      </c>
      <c r="N43" s="146">
        <f>+-IF(N$12=0,Sensitivities!$H$8,0)</f>
        <v>0</v>
      </c>
      <c r="O43" s="146">
        <f>+-IF(O$12=0,Sensitivities!$H$8,0)</f>
        <v>0</v>
      </c>
      <c r="P43" s="58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2.75" customHeight="1">
      <c r="A44" s="55"/>
      <c r="B44" s="58" t="s">
        <v>41</v>
      </c>
      <c r="C44" s="58"/>
      <c r="D44" s="146">
        <f>+-IF(D$12=0,Overview!$E27,0)</f>
        <v>-500000</v>
      </c>
      <c r="E44" s="146">
        <f>+-IF(E$12=0,Overview!$E27,0)</f>
        <v>0</v>
      </c>
      <c r="F44" s="146">
        <f>+-IF(F$12=0,Overview!$E27,0)</f>
        <v>0</v>
      </c>
      <c r="G44" s="146">
        <f>+-IF(G$12=0,Overview!$E27,0)</f>
        <v>0</v>
      </c>
      <c r="H44" s="146">
        <f>+-IF(H$12=0,Overview!$E27,0)</f>
        <v>0</v>
      </c>
      <c r="I44" s="146">
        <f>+-IF(I$12=0,Overview!$E27,0)</f>
        <v>0</v>
      </c>
      <c r="J44" s="146">
        <f>+-IF(J$12=0,Overview!$E27,0)</f>
        <v>0</v>
      </c>
      <c r="K44" s="146">
        <f>+-IF(K$12=0,Overview!$E27,0)</f>
        <v>0</v>
      </c>
      <c r="L44" s="146">
        <f>+-IF(L$12=0,Overview!$E27,0)</f>
        <v>0</v>
      </c>
      <c r="M44" s="146">
        <f>+-IF(M$12=0,Overview!$E27,0)</f>
        <v>0</v>
      </c>
      <c r="N44" s="146">
        <f>+-IF(N$12=0,Overview!$E27,0)</f>
        <v>0</v>
      </c>
      <c r="O44" s="146">
        <f>+-IF(O$12=0,Overview!$E27,0)</f>
        <v>0</v>
      </c>
      <c r="P44" s="58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2.75" customHeight="1">
      <c r="A45" s="55"/>
      <c r="B45" s="58" t="s">
        <v>43</v>
      </c>
      <c r="C45" s="58"/>
      <c r="D45" s="146">
        <f>+-IF(D$12=0,Overview!$E28,0)</f>
        <v>-10000</v>
      </c>
      <c r="E45" s="146">
        <f>+-IF(E$12=0,Overview!$E28,0)</f>
        <v>0</v>
      </c>
      <c r="F45" s="146">
        <f>+-IF(F$12=0,Overview!$E28,0)</f>
        <v>0</v>
      </c>
      <c r="G45" s="146">
        <f>+-IF(G$12=0,Overview!$E28,0)</f>
        <v>0</v>
      </c>
      <c r="H45" s="146">
        <f>+-IF(H$12=0,Overview!$E28,0)</f>
        <v>0</v>
      </c>
      <c r="I45" s="146">
        <f>+-IF(I$12=0,Overview!$E28,0)</f>
        <v>0</v>
      </c>
      <c r="J45" s="146">
        <f>+-IF(J$12=0,Overview!$E28,0)</f>
        <v>0</v>
      </c>
      <c r="K45" s="146">
        <f>+-IF(K$12=0,Overview!$E28,0)</f>
        <v>0</v>
      </c>
      <c r="L45" s="146">
        <f>+-IF(L$12=0,Overview!$E28,0)</f>
        <v>0</v>
      </c>
      <c r="M45" s="146">
        <f>+-IF(M$12=0,Overview!$E28,0)</f>
        <v>0</v>
      </c>
      <c r="N45" s="146">
        <f>+-IF(N$12=0,Overview!$E28,0)</f>
        <v>0</v>
      </c>
      <c r="O45" s="146">
        <f>+-IF(O$12=0,Overview!$E28,0)</f>
        <v>0</v>
      </c>
      <c r="P45" s="58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2.75" customHeight="1">
      <c r="A46" s="55"/>
      <c r="B46" s="79" t="s">
        <v>45</v>
      </c>
      <c r="C46" s="79"/>
      <c r="D46" s="147">
        <f t="shared" ref="D46:O46" si="20">+SUM(D41:D45)</f>
        <v>-9267500</v>
      </c>
      <c r="E46" s="147">
        <f t="shared" si="20"/>
        <v>0</v>
      </c>
      <c r="F46" s="147">
        <f t="shared" si="20"/>
        <v>0</v>
      </c>
      <c r="G46" s="147">
        <f t="shared" si="20"/>
        <v>0</v>
      </c>
      <c r="H46" s="147">
        <f t="shared" si="20"/>
        <v>0</v>
      </c>
      <c r="I46" s="147">
        <f t="shared" si="20"/>
        <v>0</v>
      </c>
      <c r="J46" s="147">
        <f t="shared" si="20"/>
        <v>0</v>
      </c>
      <c r="K46" s="147">
        <f t="shared" si="20"/>
        <v>0</v>
      </c>
      <c r="L46" s="147">
        <f t="shared" si="20"/>
        <v>0</v>
      </c>
      <c r="M46" s="147">
        <f t="shared" si="20"/>
        <v>0</v>
      </c>
      <c r="N46" s="147">
        <f t="shared" si="20"/>
        <v>0</v>
      </c>
      <c r="O46" s="147">
        <f t="shared" si="20"/>
        <v>0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2.75" customHeight="1">
      <c r="A47" s="55"/>
      <c r="B47" s="55"/>
      <c r="C47" s="55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2.75" customHeight="1">
      <c r="A48" s="55"/>
      <c r="B48" s="57" t="s">
        <v>72</v>
      </c>
      <c r="C48" s="55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2.75" customHeight="1">
      <c r="A49" s="55"/>
      <c r="B49" s="58" t="s">
        <v>73</v>
      </c>
      <c r="C49" s="58"/>
      <c r="D49" s="146"/>
      <c r="E49" s="146">
        <f t="shared" ref="E49:O49" si="21">+-IF(E$12&lt;&gt;$C$3,0,IF(E$12=$C$3,IF($C$5="Appreciation",$D$41*(1+$C$6)^($C$3),-IF($C$5="Cap Rate",F$37/$C$6,0))))</f>
        <v>0</v>
      </c>
      <c r="F49" s="146">
        <f t="shared" si="21"/>
        <v>0</v>
      </c>
      <c r="G49" s="146">
        <f t="shared" si="21"/>
        <v>0</v>
      </c>
      <c r="H49" s="146">
        <f t="shared" si="21"/>
        <v>0</v>
      </c>
      <c r="I49" s="146">
        <f t="shared" si="21"/>
        <v>0</v>
      </c>
      <c r="J49" s="146">
        <f t="shared" si="21"/>
        <v>0</v>
      </c>
      <c r="K49" s="146">
        <f t="shared" si="21"/>
        <v>0</v>
      </c>
      <c r="L49" s="146">
        <f t="shared" si="21"/>
        <v>0</v>
      </c>
      <c r="M49" s="146">
        <f t="shared" si="21"/>
        <v>0</v>
      </c>
      <c r="N49" s="146">
        <f t="shared" si="21"/>
        <v>14033012.48227312</v>
      </c>
      <c r="O49" s="146">
        <f t="shared" si="21"/>
        <v>0</v>
      </c>
      <c r="P49" s="58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2.75" customHeight="1">
      <c r="A50" s="55"/>
      <c r="B50" s="58" t="s">
        <v>64</v>
      </c>
      <c r="C50" s="58"/>
      <c r="D50" s="146"/>
      <c r="E50" s="146">
        <f t="shared" ref="E50:O50" si="22">+-E49*$C$4</f>
        <v>0</v>
      </c>
      <c r="F50" s="146">
        <f t="shared" si="22"/>
        <v>0</v>
      </c>
      <c r="G50" s="146">
        <f t="shared" si="22"/>
        <v>0</v>
      </c>
      <c r="H50" s="146">
        <f t="shared" si="22"/>
        <v>0</v>
      </c>
      <c r="I50" s="146">
        <f t="shared" si="22"/>
        <v>0</v>
      </c>
      <c r="J50" s="146">
        <f t="shared" si="22"/>
        <v>0</v>
      </c>
      <c r="K50" s="146">
        <f t="shared" si="22"/>
        <v>0</v>
      </c>
      <c r="L50" s="146">
        <f t="shared" si="22"/>
        <v>0</v>
      </c>
      <c r="M50" s="146">
        <f t="shared" si="22"/>
        <v>0</v>
      </c>
      <c r="N50" s="146">
        <f t="shared" si="22"/>
        <v>-561320.49929092487</v>
      </c>
      <c r="O50" s="146">
        <f t="shared" si="22"/>
        <v>0</v>
      </c>
      <c r="P50" s="58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2.75" customHeight="1">
      <c r="A51" s="55"/>
      <c r="B51" s="79" t="s">
        <v>74</v>
      </c>
      <c r="C51" s="79"/>
      <c r="D51" s="147"/>
      <c r="E51" s="147">
        <f t="shared" ref="E51:O51" si="23">+SUM(E49:E50)</f>
        <v>0</v>
      </c>
      <c r="F51" s="147">
        <f t="shared" si="23"/>
        <v>0</v>
      </c>
      <c r="G51" s="147">
        <f t="shared" si="23"/>
        <v>0</v>
      </c>
      <c r="H51" s="147">
        <f t="shared" si="23"/>
        <v>0</v>
      </c>
      <c r="I51" s="147">
        <f t="shared" si="23"/>
        <v>0</v>
      </c>
      <c r="J51" s="147">
        <f t="shared" si="23"/>
        <v>0</v>
      </c>
      <c r="K51" s="147">
        <f t="shared" si="23"/>
        <v>0</v>
      </c>
      <c r="L51" s="147">
        <f t="shared" si="23"/>
        <v>0</v>
      </c>
      <c r="M51" s="147">
        <f t="shared" si="23"/>
        <v>0</v>
      </c>
      <c r="N51" s="147">
        <f t="shared" si="23"/>
        <v>13471691.982982196</v>
      </c>
      <c r="O51" s="147">
        <f t="shared" si="23"/>
        <v>0</v>
      </c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2.75" customHeight="1">
      <c r="A52" s="55"/>
      <c r="B52" s="55"/>
      <c r="C52" s="55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2.75" customHeight="1">
      <c r="A53" s="58"/>
      <c r="B53" s="77" t="s">
        <v>75</v>
      </c>
      <c r="C53" s="77"/>
      <c r="D53" s="149">
        <f t="shared" ref="D53:O53" si="24">+IF(D12&lt;=$C$3,D37+D46+D51,0)</f>
        <v>-9267500</v>
      </c>
      <c r="E53" s="149">
        <f t="shared" si="24"/>
        <v>448702.5</v>
      </c>
      <c r="F53" s="149">
        <f t="shared" si="24"/>
        <v>461400.44999999984</v>
      </c>
      <c r="G53" s="149">
        <f t="shared" si="24"/>
        <v>474445.4564999998</v>
      </c>
      <c r="H53" s="149">
        <f t="shared" si="24"/>
        <v>487846.78806749964</v>
      </c>
      <c r="I53" s="149">
        <f t="shared" si="24"/>
        <v>501613.9568272871</v>
      </c>
      <c r="J53" s="149">
        <f t="shared" si="24"/>
        <v>515756.72478723107</v>
      </c>
      <c r="K53" s="149">
        <f t="shared" si="24"/>
        <v>530285.11032695917</v>
      </c>
      <c r="L53" s="149">
        <f t="shared" si="24"/>
        <v>545209.39485358109</v>
      </c>
      <c r="M53" s="149">
        <f t="shared" si="24"/>
        <v>560540.12962873769</v>
      </c>
      <c r="N53" s="149">
        <f t="shared" si="24"/>
        <v>14047980.125753546</v>
      </c>
      <c r="O53" s="149">
        <f t="shared" si="24"/>
        <v>0</v>
      </c>
      <c r="P53" s="58"/>
      <c r="Q53" s="58"/>
      <c r="R53" s="58"/>
      <c r="S53" s="55"/>
      <c r="T53" s="55"/>
      <c r="U53" s="55"/>
      <c r="V53" s="55"/>
      <c r="W53" s="55"/>
      <c r="X53" s="55"/>
      <c r="Y53" s="55"/>
      <c r="Z53" s="55"/>
    </row>
    <row r="54" spans="1:26" ht="12.75" customHeight="1">
      <c r="A54" s="58"/>
      <c r="B54" s="58"/>
      <c r="C54" s="58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58"/>
      <c r="Q54" s="58"/>
      <c r="R54" s="58"/>
      <c r="S54" s="55"/>
      <c r="T54" s="55"/>
      <c r="U54" s="55"/>
      <c r="V54" s="55"/>
      <c r="W54" s="55"/>
      <c r="X54" s="55"/>
      <c r="Y54" s="55"/>
      <c r="Z54" s="55"/>
    </row>
    <row r="55" spans="1:26" ht="12.75" customHeight="1">
      <c r="A55" s="58"/>
      <c r="B55" s="77" t="s">
        <v>76</v>
      </c>
      <c r="C55" s="80">
        <f>+IFERROR(IRR(D53:O53),0)</f>
        <v>8.4670705565294435E-2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58"/>
      <c r="Q55" s="58"/>
      <c r="R55" s="58"/>
      <c r="S55" s="55"/>
      <c r="T55" s="55"/>
      <c r="U55" s="55"/>
      <c r="V55" s="55"/>
      <c r="W55" s="55"/>
      <c r="X55" s="55"/>
      <c r="Y55" s="55"/>
      <c r="Z55" s="55"/>
    </row>
    <row r="56" spans="1:26" ht="12.75" customHeight="1">
      <c r="A56" s="58"/>
      <c r="B56" s="77" t="s">
        <v>77</v>
      </c>
      <c r="C56" s="150">
        <f>+SUM(D53:O53)</f>
        <v>9306280.6367448419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58"/>
      <c r="Q56" s="58"/>
      <c r="R56" s="58"/>
      <c r="S56" s="55"/>
      <c r="T56" s="55"/>
      <c r="U56" s="55"/>
      <c r="V56" s="55"/>
      <c r="W56" s="55"/>
      <c r="X56" s="55"/>
      <c r="Y56" s="55"/>
      <c r="Z56" s="55"/>
    </row>
    <row r="57" spans="1:26" ht="12.75" customHeight="1">
      <c r="A57" s="58"/>
      <c r="B57" s="77" t="s">
        <v>78</v>
      </c>
      <c r="C57" s="81">
        <f>+IFERROR(SUMIF(D53:O53,"&gt;0")/-SUMIF(D53:O53,"&lt;0"),0)</f>
        <v>2.0041845844882484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58"/>
      <c r="Q57" s="58"/>
      <c r="R57" s="58"/>
      <c r="S57" s="55"/>
      <c r="T57" s="55"/>
      <c r="U57" s="55"/>
      <c r="V57" s="55"/>
      <c r="W57" s="55"/>
      <c r="X57" s="55"/>
      <c r="Y57" s="55"/>
      <c r="Z57" s="55"/>
    </row>
    <row r="58" spans="1:26" ht="12.75" customHeight="1">
      <c r="A58" s="58"/>
      <c r="B58" s="58"/>
      <c r="C58" s="58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58"/>
      <c r="Q58" s="58"/>
      <c r="R58" s="58"/>
      <c r="S58" s="55"/>
      <c r="T58" s="55"/>
      <c r="U58" s="55"/>
      <c r="V58" s="55"/>
      <c r="W58" s="55"/>
      <c r="X58" s="55"/>
      <c r="Y58" s="55"/>
      <c r="Z58" s="55"/>
    </row>
    <row r="59" spans="1:26" ht="12.75" customHeight="1">
      <c r="A59" s="58"/>
      <c r="B59" s="58" t="s">
        <v>79</v>
      </c>
      <c r="C59" s="58"/>
      <c r="D59" s="151">
        <f t="shared" ref="D59:O59" si="25">+IF(D12=0,0,C63)</f>
        <v>0</v>
      </c>
      <c r="E59" s="151">
        <f t="shared" si="25"/>
        <v>3900000</v>
      </c>
      <c r="F59" s="151">
        <f t="shared" si="25"/>
        <v>3900000</v>
      </c>
      <c r="G59" s="151">
        <f t="shared" si="25"/>
        <v>3900000</v>
      </c>
      <c r="H59" s="151">
        <f t="shared" si="25"/>
        <v>3900000</v>
      </c>
      <c r="I59" s="151">
        <f t="shared" si="25"/>
        <v>3900000</v>
      </c>
      <c r="J59" s="151">
        <f t="shared" si="25"/>
        <v>3900000</v>
      </c>
      <c r="K59" s="151">
        <f t="shared" si="25"/>
        <v>3900000</v>
      </c>
      <c r="L59" s="151">
        <f t="shared" si="25"/>
        <v>3900000</v>
      </c>
      <c r="M59" s="151">
        <f t="shared" si="25"/>
        <v>3900000</v>
      </c>
      <c r="N59" s="151">
        <f t="shared" si="25"/>
        <v>3900000</v>
      </c>
      <c r="O59" s="151">
        <f t="shared" si="25"/>
        <v>0</v>
      </c>
      <c r="P59" s="58"/>
      <c r="Q59" s="58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.75" customHeight="1">
      <c r="A60" s="58"/>
      <c r="B60" s="58" t="s">
        <v>80</v>
      </c>
      <c r="C60" s="58"/>
      <c r="D60" s="151">
        <f>+IF(D12=0,Overview!$E$34,0)</f>
        <v>3900000</v>
      </c>
      <c r="E60" s="151">
        <f>+IF(E12=0,Overview!$E$34,0)</f>
        <v>0</v>
      </c>
      <c r="F60" s="151">
        <f>+IF(F12=0,Overview!$E$34,0)</f>
        <v>0</v>
      </c>
      <c r="G60" s="151">
        <f>+IF(G12=0,Overview!$E$34,0)</f>
        <v>0</v>
      </c>
      <c r="H60" s="151">
        <f>+IF(H12=0,Overview!$E$34,0)</f>
        <v>0</v>
      </c>
      <c r="I60" s="151">
        <f>+IF(I12=0,Overview!$E$34,0)</f>
        <v>0</v>
      </c>
      <c r="J60" s="151">
        <f>+IF(J12=0,Overview!$E$34,0)</f>
        <v>0</v>
      </c>
      <c r="K60" s="151">
        <f>+IF(K12=0,Overview!$E$34,0)</f>
        <v>0</v>
      </c>
      <c r="L60" s="151">
        <f>+IF(L12=0,Overview!$E$34,0)</f>
        <v>0</v>
      </c>
      <c r="M60" s="151">
        <f>+IF(M12=0,Overview!$E$34,0)</f>
        <v>0</v>
      </c>
      <c r="N60" s="151">
        <f>+IF(N12=0,Overview!$E$34,0)</f>
        <v>0</v>
      </c>
      <c r="O60" s="151">
        <f>+IF(O12=0,Overview!$E$34,0)</f>
        <v>0</v>
      </c>
      <c r="P60" s="58"/>
      <c r="Q60" s="58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2.75" customHeight="1">
      <c r="A61" s="58"/>
      <c r="B61" s="58" t="s">
        <v>81</v>
      </c>
      <c r="C61" s="58"/>
      <c r="D61" s="151">
        <f>+IFERROR(IF(D12&gt;$C$3,0,IF(Overview!$E$37="Amortization",PPMT(Overview!$E$36,'Annual CFs'!D$12,Overview!$E$38,Overview!$E$34),0)),0)</f>
        <v>0</v>
      </c>
      <c r="E61" s="151">
        <f>+IFERROR(IF(E12&gt;$C$3,0,IF(Overview!$E$37="Amortization",PPMT(Overview!$E$36,'Annual CFs'!E$12,Overview!$E$38,Overview!$E$34),0)),0)</f>
        <v>0</v>
      </c>
      <c r="F61" s="151">
        <f>+IFERROR(IF(F12&gt;$C$3,0,IF(Overview!$E$37="Amortization",PPMT(Overview!$E$36,'Annual CFs'!F$12,Overview!$E$38,Overview!$E$34),0)),0)</f>
        <v>0</v>
      </c>
      <c r="G61" s="151">
        <f>+IFERROR(IF(G12&gt;$C$3,0,IF(Overview!$E$37="Amortization",PPMT(Overview!$E$36,'Annual CFs'!G$12,Overview!$E$38,Overview!$E$34),0)),0)</f>
        <v>0</v>
      </c>
      <c r="H61" s="151">
        <f>+IFERROR(IF(H12&gt;$C$3,0,IF(Overview!$E$37="Amortization",PPMT(Overview!$E$36,'Annual CFs'!H$12,Overview!$E$38,Overview!$E$34),0)),0)</f>
        <v>0</v>
      </c>
      <c r="I61" s="151">
        <f>+IFERROR(IF(I12&gt;$C$3,0,IF(Overview!$E$37="Amortization",PPMT(Overview!$E$36,'Annual CFs'!I$12,Overview!$E$38,Overview!$E$34),0)),0)</f>
        <v>0</v>
      </c>
      <c r="J61" s="151">
        <f>+IFERROR(IF(J12&gt;$C$3,0,IF(Overview!$E$37="Amortization",PPMT(Overview!$E$36,'Annual CFs'!J$12,Overview!$E$38,Overview!$E$34),0)),0)</f>
        <v>0</v>
      </c>
      <c r="K61" s="151">
        <f>+IFERROR(IF(K12&gt;$C$3,0,IF(Overview!$E$37="Amortization",PPMT(Overview!$E$36,'Annual CFs'!K$12,Overview!$E$38,Overview!$E$34),0)),0)</f>
        <v>0</v>
      </c>
      <c r="L61" s="151">
        <f>+IFERROR(IF(L12&gt;$C$3,0,IF(Overview!$E$37="Amortization",PPMT(Overview!$E$36,'Annual CFs'!L$12,Overview!$E$38,Overview!$E$34),0)),0)</f>
        <v>0</v>
      </c>
      <c r="M61" s="151">
        <f>+IFERROR(IF(M12&gt;$C$3,0,IF(Overview!$E$37="Amortization",PPMT(Overview!$E$36,'Annual CFs'!M$12,Overview!$E$38,Overview!$E$34),0)),0)</f>
        <v>0</v>
      </c>
      <c r="N61" s="151">
        <f>+IFERROR(IF(N12&gt;$C$3,0,IF(Overview!$E$37="Amortization",PPMT(Overview!$E$36,'Annual CFs'!N$12,Overview!$E$38,Overview!$E$34),0)),0)</f>
        <v>0</v>
      </c>
      <c r="O61" s="151">
        <f>+IFERROR(IF(O12&gt;$C$3,0,IF(Overview!$E$37="Amortization",PPMT(Overview!$E$36,'Annual CFs'!O$12,Overview!$E$38,Overview!$E$34),0)),0)</f>
        <v>0</v>
      </c>
      <c r="P61" s="58"/>
      <c r="Q61" s="58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2.75" customHeight="1">
      <c r="A62" s="58"/>
      <c r="B62" s="58" t="s">
        <v>82</v>
      </c>
      <c r="C62" s="58"/>
      <c r="D62" s="151">
        <f t="shared" ref="D62:O62" si="26">+IF(D12=$C$3,-SUM(D59:D61),0)</f>
        <v>0</v>
      </c>
      <c r="E62" s="151">
        <f t="shared" si="26"/>
        <v>0</v>
      </c>
      <c r="F62" s="151">
        <f t="shared" si="26"/>
        <v>0</v>
      </c>
      <c r="G62" s="151">
        <f t="shared" si="26"/>
        <v>0</v>
      </c>
      <c r="H62" s="151">
        <f t="shared" si="26"/>
        <v>0</v>
      </c>
      <c r="I62" s="151">
        <f t="shared" si="26"/>
        <v>0</v>
      </c>
      <c r="J62" s="151">
        <f t="shared" si="26"/>
        <v>0</v>
      </c>
      <c r="K62" s="151">
        <f t="shared" si="26"/>
        <v>0</v>
      </c>
      <c r="L62" s="151">
        <f t="shared" si="26"/>
        <v>0</v>
      </c>
      <c r="M62" s="151">
        <f t="shared" si="26"/>
        <v>0</v>
      </c>
      <c r="N62" s="151">
        <f t="shared" si="26"/>
        <v>-3900000</v>
      </c>
      <c r="O62" s="151">
        <f t="shared" si="26"/>
        <v>0</v>
      </c>
      <c r="P62" s="58"/>
      <c r="Q62" s="58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>
      <c r="A63" s="58"/>
      <c r="B63" s="58" t="s">
        <v>83</v>
      </c>
      <c r="C63" s="58"/>
      <c r="D63" s="151">
        <f t="shared" ref="D63:O63" si="27">+SUM(D59:D62)</f>
        <v>3900000</v>
      </c>
      <c r="E63" s="151">
        <f t="shared" si="27"/>
        <v>3900000</v>
      </c>
      <c r="F63" s="151">
        <f t="shared" si="27"/>
        <v>3900000</v>
      </c>
      <c r="G63" s="151">
        <f t="shared" si="27"/>
        <v>3900000</v>
      </c>
      <c r="H63" s="151">
        <f t="shared" si="27"/>
        <v>3900000</v>
      </c>
      <c r="I63" s="151">
        <f t="shared" si="27"/>
        <v>3900000</v>
      </c>
      <c r="J63" s="151">
        <f t="shared" si="27"/>
        <v>3900000</v>
      </c>
      <c r="K63" s="151">
        <f t="shared" si="27"/>
        <v>3900000</v>
      </c>
      <c r="L63" s="151">
        <f t="shared" si="27"/>
        <v>3900000</v>
      </c>
      <c r="M63" s="151">
        <f t="shared" si="27"/>
        <v>3900000</v>
      </c>
      <c r="N63" s="151">
        <f t="shared" si="27"/>
        <v>0</v>
      </c>
      <c r="O63" s="151">
        <f t="shared" si="27"/>
        <v>0</v>
      </c>
      <c r="P63" s="58"/>
      <c r="Q63" s="58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2.75" customHeight="1">
      <c r="A64" s="58"/>
      <c r="B64" s="58"/>
      <c r="C64" s="58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58"/>
      <c r="Q64" s="58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2.75" customHeight="1">
      <c r="A65" s="58"/>
      <c r="B65" s="82" t="s">
        <v>84</v>
      </c>
      <c r="C65" s="58"/>
      <c r="D65" s="151">
        <f>+IFERROR(IF(D12&gt;0,-SUM(D59:D60)*Overview!$E$36,0),0)</f>
        <v>0</v>
      </c>
      <c r="E65" s="151">
        <f>+IFERROR(IF(E12&gt;0,-SUM(E59:E60)*Overview!$E$36,0),0)</f>
        <v>-146250</v>
      </c>
      <c r="F65" s="151">
        <f>+IFERROR(IF(F12&gt;0,-SUM(F59:F60)*Overview!$E$36,0),0)</f>
        <v>-146250</v>
      </c>
      <c r="G65" s="151">
        <f>+IFERROR(IF(G12&gt;0,-SUM(G59:G60)*Overview!$E$36,0),0)</f>
        <v>-146250</v>
      </c>
      <c r="H65" s="151">
        <f>+IFERROR(IF(H12&gt;0,-SUM(H59:H60)*Overview!$E$36,0),0)</f>
        <v>-146250</v>
      </c>
      <c r="I65" s="151">
        <f>+IFERROR(IF(I12&gt;0,-SUM(I59:I60)*Overview!$E$36,0),0)</f>
        <v>-146250</v>
      </c>
      <c r="J65" s="151">
        <f>+IFERROR(IF(J12&gt;0,-SUM(J59:J60)*Overview!$E$36,0),0)</f>
        <v>-146250</v>
      </c>
      <c r="K65" s="151">
        <f>+IFERROR(IF(K12&gt;0,-SUM(K59:K60)*Overview!$E$36,0),0)</f>
        <v>-146250</v>
      </c>
      <c r="L65" s="151">
        <f>+IFERROR(IF(L12&gt;0,-SUM(L59:L60)*Overview!$E$36,0),0)</f>
        <v>-146250</v>
      </c>
      <c r="M65" s="151">
        <f>+IFERROR(IF(M12&gt;0,-SUM(M59:M60)*Overview!$E$36,0),0)</f>
        <v>-146250</v>
      </c>
      <c r="N65" s="151">
        <f>+IFERROR(IF(N12&gt;0,-SUM(N59:N60)*Overview!$E$36,0),0)</f>
        <v>-146250</v>
      </c>
      <c r="O65" s="151">
        <f>+IFERROR(IF(O12&gt;0,-SUM(O59:O60)*Overview!$E$36,0),0)</f>
        <v>0</v>
      </c>
      <c r="P65" s="58"/>
      <c r="Q65" s="58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.75" customHeight="1">
      <c r="A66" s="58"/>
      <c r="B66" s="82" t="s">
        <v>85</v>
      </c>
      <c r="C66" s="58"/>
      <c r="D66" s="151">
        <f>+-D60*Overview!$D$35</f>
        <v>-117000</v>
      </c>
      <c r="E66" s="151">
        <f>+-E60*Overview!$D$35</f>
        <v>0</v>
      </c>
      <c r="F66" s="151">
        <f>+-F60*Overview!$D$35</f>
        <v>0</v>
      </c>
      <c r="G66" s="151">
        <f>+-G60*Overview!$D$35</f>
        <v>0</v>
      </c>
      <c r="H66" s="151">
        <f>+-H60*Overview!$D$35</f>
        <v>0</v>
      </c>
      <c r="I66" s="151">
        <f>+-I60*Overview!$D$35</f>
        <v>0</v>
      </c>
      <c r="J66" s="151">
        <f>+-J60*Overview!$D$35</f>
        <v>0</v>
      </c>
      <c r="K66" s="151">
        <f>+-K60*Overview!$D$35</f>
        <v>0</v>
      </c>
      <c r="L66" s="151">
        <f>+-L60*Overview!$D$35</f>
        <v>0</v>
      </c>
      <c r="M66" s="151">
        <f>+-M60*Overview!$D$35</f>
        <v>0</v>
      </c>
      <c r="N66" s="151">
        <f>+-N60*Overview!$D$35</f>
        <v>0</v>
      </c>
      <c r="O66" s="151">
        <f>+-O60*Overview!$D$35</f>
        <v>0</v>
      </c>
      <c r="P66" s="58"/>
      <c r="Q66" s="58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2.75" customHeight="1">
      <c r="A67" s="55"/>
      <c r="B67" s="55"/>
      <c r="C67" s="55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2.75" customHeight="1">
      <c r="A68" s="58"/>
      <c r="B68" s="77" t="s">
        <v>52</v>
      </c>
      <c r="C68" s="77"/>
      <c r="D68" s="153">
        <f t="shared" ref="D68:O68" si="28">+D53+D60+D61+D62+D65+D66</f>
        <v>-5484500</v>
      </c>
      <c r="E68" s="153">
        <f t="shared" si="28"/>
        <v>302452.5</v>
      </c>
      <c r="F68" s="153">
        <f t="shared" si="28"/>
        <v>315150.44999999984</v>
      </c>
      <c r="G68" s="153">
        <f t="shared" si="28"/>
        <v>328195.4564999998</v>
      </c>
      <c r="H68" s="153">
        <f t="shared" si="28"/>
        <v>341596.78806749964</v>
      </c>
      <c r="I68" s="153">
        <f t="shared" si="28"/>
        <v>355363.9568272871</v>
      </c>
      <c r="J68" s="153">
        <f t="shared" si="28"/>
        <v>369506.72478723107</v>
      </c>
      <c r="K68" s="153">
        <f t="shared" si="28"/>
        <v>384035.11032695917</v>
      </c>
      <c r="L68" s="153">
        <f t="shared" si="28"/>
        <v>398959.39485358109</v>
      </c>
      <c r="M68" s="153">
        <f t="shared" si="28"/>
        <v>414290.12962873769</v>
      </c>
      <c r="N68" s="153">
        <f t="shared" si="28"/>
        <v>10001730.125753546</v>
      </c>
      <c r="O68" s="153">
        <f t="shared" si="28"/>
        <v>0</v>
      </c>
      <c r="P68" s="58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2.75" customHeight="1">
      <c r="A69" s="58"/>
      <c r="B69" s="71" t="s">
        <v>58</v>
      </c>
      <c r="C69" s="58"/>
      <c r="D69" s="61"/>
      <c r="E69" s="74">
        <f t="shared" ref="E69:O69" si="29">+IFERROR(-(E68+-E49-E50-E62)/(SUMIF($D68:E68,"&lt;0")),0)</f>
        <v>5.5146777281429485E-2</v>
      </c>
      <c r="F69" s="74">
        <f t="shared" si="29"/>
        <v>5.7462020238854924E-2</v>
      </c>
      <c r="G69" s="74">
        <f t="shared" si="29"/>
        <v>5.98405427112772E-2</v>
      </c>
      <c r="H69" s="74">
        <f t="shared" si="29"/>
        <v>6.2284034655392402E-2</v>
      </c>
      <c r="I69" s="74">
        <f t="shared" si="29"/>
        <v>6.479423043619055E-2</v>
      </c>
      <c r="J69" s="74">
        <f t="shared" si="29"/>
        <v>6.7372909980350268E-2</v>
      </c>
      <c r="K69" s="74">
        <f t="shared" si="29"/>
        <v>7.0021899959332515E-2</v>
      </c>
      <c r="L69" s="74">
        <f t="shared" si="29"/>
        <v>7.2743075002932103E-2</v>
      </c>
      <c r="M69" s="74">
        <f t="shared" si="29"/>
        <v>7.5538358944067407E-2</v>
      </c>
      <c r="N69" s="74">
        <f t="shared" si="29"/>
        <v>7.8409726095605925E-2</v>
      </c>
      <c r="O69" s="74">
        <f t="shared" si="29"/>
        <v>0</v>
      </c>
      <c r="P69" s="58"/>
      <c r="Q69" s="58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2.75" customHeight="1">
      <c r="A70" s="58"/>
      <c r="B70" s="58"/>
      <c r="C70" s="58"/>
      <c r="D70" s="61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2.75" customHeight="1">
      <c r="A71" s="58"/>
      <c r="B71" s="77" t="s">
        <v>86</v>
      </c>
      <c r="C71" s="80">
        <f>+IFERROR(IRR(D68:O68),0)</f>
        <v>0.10898831362393779</v>
      </c>
      <c r="D71" s="61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2.75" customHeight="1">
      <c r="A72" s="58"/>
      <c r="B72" s="77" t="s">
        <v>87</v>
      </c>
      <c r="C72" s="154">
        <f>+SUM(D68:O68)</f>
        <v>7726780.6367448419</v>
      </c>
      <c r="D72" s="61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2.75" customHeight="1">
      <c r="A73" s="58"/>
      <c r="B73" s="77" t="s">
        <v>88</v>
      </c>
      <c r="C73" s="81">
        <f>+IFERROR(SUMIF(D68:O68,"&gt;0")/-SUMIF(D68:O68,"&lt;0"),0)</f>
        <v>2.408839572749538</v>
      </c>
      <c r="D73" s="61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2.75" customHeight="1">
      <c r="A74" s="58"/>
      <c r="B74" s="58"/>
      <c r="C74" s="58"/>
      <c r="D74" s="61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2.75" customHeight="1">
      <c r="A75" s="55"/>
      <c r="B75" s="13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2.75" customHeight="1">
      <c r="A76" s="55"/>
      <c r="B76" s="55"/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2.75" customHeight="1">
      <c r="A77" s="55"/>
      <c r="B77" s="55"/>
      <c r="C77" s="55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2.75" customHeight="1">
      <c r="A78" s="55"/>
      <c r="B78" s="55"/>
      <c r="C78" s="55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>
      <c r="A79" s="55"/>
      <c r="B79" s="55"/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2.75" customHeight="1">
      <c r="A80" s="55"/>
      <c r="B80" s="55"/>
      <c r="C80" s="55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2.75" customHeight="1">
      <c r="A81" s="55"/>
      <c r="B81" s="55"/>
      <c r="C81" s="55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2.75" customHeight="1">
      <c r="A82" s="55"/>
      <c r="B82" s="55"/>
      <c r="C82" s="55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2.75" customHeight="1">
      <c r="A83" s="55"/>
      <c r="B83" s="55"/>
      <c r="C83" s="55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2.75" customHeight="1">
      <c r="A84" s="55"/>
      <c r="B84" s="55"/>
      <c r="C84" s="55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2.75" customHeight="1">
      <c r="A85" s="55"/>
      <c r="B85" s="55"/>
      <c r="C85" s="55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2.75" customHeight="1">
      <c r="A86" s="55"/>
      <c r="B86" s="55"/>
      <c r="C86" s="55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2.75" customHeight="1">
      <c r="A87" s="55"/>
      <c r="B87" s="55"/>
      <c r="C87" s="55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2.75" customHeight="1">
      <c r="A88" s="55"/>
      <c r="B88" s="55"/>
      <c r="C88" s="55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2.75" customHeight="1">
      <c r="A89" s="55"/>
      <c r="B89" s="55"/>
      <c r="C89" s="55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2.75" customHeight="1">
      <c r="A90" s="55"/>
      <c r="B90" s="55"/>
      <c r="C90" s="55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2.75" customHeight="1">
      <c r="A91" s="55"/>
      <c r="B91" s="55"/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2.75" customHeight="1">
      <c r="A92" s="55"/>
      <c r="B92" s="55"/>
      <c r="C92" s="55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2.75" customHeight="1">
      <c r="A93" s="55"/>
      <c r="B93" s="55"/>
      <c r="C93" s="55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>
      <c r="A94" s="55"/>
      <c r="B94" s="55"/>
      <c r="C94" s="55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2.75" customHeight="1">
      <c r="A95" s="55"/>
      <c r="B95" s="55"/>
      <c r="C95" s="55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2.75" customHeight="1">
      <c r="A96" s="55"/>
      <c r="B96" s="55"/>
      <c r="C96" s="55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2.75" customHeight="1">
      <c r="A97" s="55"/>
      <c r="B97" s="55"/>
      <c r="C97" s="55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2.75" customHeight="1">
      <c r="A98" s="55"/>
      <c r="B98" s="55"/>
      <c r="C98" s="55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2.75" customHeight="1">
      <c r="A99" s="55"/>
      <c r="B99" s="55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2.75" customHeight="1">
      <c r="A100" s="55"/>
      <c r="B100" s="55"/>
      <c r="C100" s="55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2.75" customHeight="1">
      <c r="A101" s="55"/>
      <c r="B101" s="55"/>
      <c r="C101" s="55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2.75" customHeight="1">
      <c r="A102" s="55"/>
      <c r="B102" s="55"/>
      <c r="C102" s="55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2.75" customHeight="1">
      <c r="A103" s="55"/>
      <c r="B103" s="55"/>
      <c r="C103" s="55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2.75" customHeight="1">
      <c r="A104" s="55"/>
      <c r="B104" s="55"/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2.75" customHeight="1">
      <c r="A105" s="55"/>
      <c r="B105" s="55"/>
      <c r="C105" s="55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2.75" customHeight="1">
      <c r="A106" s="55"/>
      <c r="B106" s="55"/>
      <c r="C106" s="55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2.75" customHeight="1">
      <c r="A107" s="55"/>
      <c r="B107" s="55"/>
      <c r="C107" s="55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2.75" customHeight="1">
      <c r="A108" s="55"/>
      <c r="B108" s="55"/>
      <c r="C108" s="55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2.75" customHeight="1">
      <c r="A109" s="55"/>
      <c r="B109" s="55"/>
      <c r="C109" s="55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>
      <c r="A110" s="55"/>
      <c r="B110" s="55"/>
      <c r="C110" s="55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2.75" customHeight="1">
      <c r="A111" s="55"/>
      <c r="B111" s="55"/>
      <c r="C111" s="55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2.75" customHeight="1">
      <c r="A112" s="55"/>
      <c r="B112" s="55"/>
      <c r="C112" s="55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2.75" customHeight="1">
      <c r="A113" s="55"/>
      <c r="B113" s="55"/>
      <c r="C113" s="55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2.75" customHeight="1">
      <c r="A114" s="55"/>
      <c r="B114" s="55"/>
      <c r="C114" s="55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2.75" customHeight="1">
      <c r="A115" s="55"/>
      <c r="B115" s="55"/>
      <c r="C115" s="55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2.75" customHeight="1">
      <c r="A116" s="55"/>
      <c r="B116" s="55"/>
      <c r="C116" s="55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2.75" customHeight="1">
      <c r="A117" s="55"/>
      <c r="B117" s="55"/>
      <c r="C117" s="55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2.75" customHeight="1">
      <c r="A118" s="55"/>
      <c r="B118" s="55"/>
      <c r="C118" s="55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2.75" customHeight="1">
      <c r="A119" s="55"/>
      <c r="B119" s="55"/>
      <c r="C119" s="55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2.75" customHeight="1">
      <c r="A120" s="55"/>
      <c r="B120" s="55"/>
      <c r="C120" s="55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2.75" customHeight="1">
      <c r="A121" s="55"/>
      <c r="B121" s="55"/>
      <c r="C121" s="55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2.75" customHeight="1">
      <c r="A122" s="55"/>
      <c r="B122" s="55"/>
      <c r="C122" s="55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2.75" customHeight="1">
      <c r="A123" s="55"/>
      <c r="B123" s="55"/>
      <c r="C123" s="55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2.75" customHeight="1">
      <c r="A124" s="55"/>
      <c r="B124" s="55"/>
      <c r="C124" s="55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2.75" customHeight="1">
      <c r="A125" s="55"/>
      <c r="B125" s="55"/>
      <c r="C125" s="55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>
      <c r="A126" s="55"/>
      <c r="B126" s="55"/>
      <c r="C126" s="55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2.75" customHeight="1">
      <c r="A127" s="55"/>
      <c r="B127" s="55"/>
      <c r="C127" s="55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2.75" customHeight="1">
      <c r="A128" s="55"/>
      <c r="B128" s="55"/>
      <c r="C128" s="55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2.75" customHeight="1">
      <c r="A129" s="55"/>
      <c r="B129" s="55"/>
      <c r="C129" s="55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2.75" customHeight="1">
      <c r="A130" s="55"/>
      <c r="B130" s="55"/>
      <c r="C130" s="55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2.75" customHeight="1">
      <c r="A131" s="55"/>
      <c r="B131" s="55"/>
      <c r="C131" s="55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2.75" customHeight="1">
      <c r="A132" s="55"/>
      <c r="B132" s="55"/>
      <c r="C132" s="55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2.75" customHeight="1">
      <c r="A133" s="55"/>
      <c r="B133" s="55"/>
      <c r="C133" s="55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2.75" customHeight="1">
      <c r="A134" s="55"/>
      <c r="B134" s="55"/>
      <c r="C134" s="55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2.75" customHeight="1">
      <c r="A135" s="55"/>
      <c r="B135" s="55"/>
      <c r="C135" s="55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2.75" customHeight="1">
      <c r="A136" s="55"/>
      <c r="B136" s="55"/>
      <c r="C136" s="55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2.75" customHeight="1">
      <c r="A137" s="55"/>
      <c r="B137" s="55"/>
      <c r="C137" s="55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2.75" customHeight="1">
      <c r="A138" s="55"/>
      <c r="B138" s="55"/>
      <c r="C138" s="55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2.75" customHeight="1">
      <c r="A139" s="55"/>
      <c r="B139" s="55"/>
      <c r="C139" s="55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2.75" customHeight="1">
      <c r="A140" s="55"/>
      <c r="B140" s="55"/>
      <c r="C140" s="55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>
      <c r="A141" s="55"/>
      <c r="B141" s="55"/>
      <c r="C141" s="55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2.75" customHeight="1">
      <c r="A142" s="55"/>
      <c r="B142" s="55"/>
      <c r="C142" s="55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2.75" customHeight="1">
      <c r="A143" s="55"/>
      <c r="B143" s="55"/>
      <c r="C143" s="55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2.75" customHeight="1">
      <c r="A144" s="55"/>
      <c r="B144" s="55"/>
      <c r="C144" s="55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2.75" customHeight="1">
      <c r="A145" s="55"/>
      <c r="B145" s="55"/>
      <c r="C145" s="55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2.75" customHeight="1">
      <c r="A146" s="55"/>
      <c r="B146" s="55"/>
      <c r="C146" s="55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2.75" customHeight="1">
      <c r="A147" s="55"/>
      <c r="B147" s="55"/>
      <c r="C147" s="55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2.75" customHeight="1">
      <c r="A148" s="55"/>
      <c r="B148" s="55"/>
      <c r="C148" s="55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2.75" customHeight="1">
      <c r="A149" s="55"/>
      <c r="B149" s="55"/>
      <c r="C149" s="55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2.75" customHeight="1">
      <c r="A150" s="55"/>
      <c r="B150" s="55"/>
      <c r="C150" s="55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2.75" customHeight="1">
      <c r="A151" s="55"/>
      <c r="B151" s="55"/>
      <c r="C151" s="55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2.75" customHeight="1">
      <c r="A152" s="55"/>
      <c r="B152" s="55"/>
      <c r="C152" s="55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2.75" customHeight="1">
      <c r="A153" s="55"/>
      <c r="B153" s="55"/>
      <c r="C153" s="55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2.75" customHeight="1">
      <c r="A154" s="55"/>
      <c r="B154" s="55"/>
      <c r="C154" s="55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2.75" customHeight="1">
      <c r="A155" s="55"/>
      <c r="B155" s="55"/>
      <c r="C155" s="55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>
      <c r="A156" s="55"/>
      <c r="B156" s="55"/>
      <c r="C156" s="55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2.75" customHeight="1">
      <c r="A157" s="55"/>
      <c r="B157" s="55"/>
      <c r="C157" s="55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2.75" customHeight="1">
      <c r="A158" s="55"/>
      <c r="B158" s="55"/>
      <c r="C158" s="55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2.75" customHeight="1">
      <c r="A159" s="55"/>
      <c r="B159" s="55"/>
      <c r="C159" s="55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2.75" customHeight="1">
      <c r="A160" s="55"/>
      <c r="B160" s="55"/>
      <c r="C160" s="55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2.75" customHeight="1">
      <c r="A161" s="55"/>
      <c r="B161" s="55"/>
      <c r="C161" s="55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2.75" customHeight="1">
      <c r="A162" s="55"/>
      <c r="B162" s="55"/>
      <c r="C162" s="55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2.75" customHeight="1">
      <c r="A163" s="55"/>
      <c r="B163" s="55"/>
      <c r="C163" s="55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2.75" customHeight="1">
      <c r="A164" s="55"/>
      <c r="B164" s="55"/>
      <c r="C164" s="55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2.75" customHeight="1">
      <c r="A165" s="55"/>
      <c r="B165" s="55"/>
      <c r="C165" s="55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2.75" customHeight="1">
      <c r="A166" s="55"/>
      <c r="B166" s="55"/>
      <c r="C166" s="55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2.75" customHeight="1">
      <c r="A167" s="55"/>
      <c r="B167" s="55"/>
      <c r="C167" s="55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2.75" customHeight="1">
      <c r="A168" s="55"/>
      <c r="B168" s="55"/>
      <c r="C168" s="55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2.75" customHeight="1">
      <c r="A169" s="55"/>
      <c r="B169" s="55"/>
      <c r="C169" s="55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2.75" customHeight="1">
      <c r="A170" s="55"/>
      <c r="B170" s="55"/>
      <c r="C170" s="55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2.75" customHeight="1">
      <c r="A171" s="55"/>
      <c r="B171" s="55"/>
      <c r="C171" s="55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2.75" customHeight="1">
      <c r="A172" s="55"/>
      <c r="B172" s="55"/>
      <c r="C172" s="55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>
      <c r="A173" s="55"/>
      <c r="B173" s="55"/>
      <c r="C173" s="55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2.75" customHeight="1">
      <c r="A174" s="55"/>
      <c r="B174" s="55"/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2.75" customHeight="1">
      <c r="A175" s="55"/>
      <c r="B175" s="55"/>
      <c r="C175" s="55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2.75" customHeight="1">
      <c r="A176" s="55"/>
      <c r="B176" s="55"/>
      <c r="C176" s="55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2.75" customHeight="1">
      <c r="A177" s="55"/>
      <c r="B177" s="55"/>
      <c r="C177" s="55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2.75" customHeight="1">
      <c r="A178" s="55"/>
      <c r="B178" s="55"/>
      <c r="C178" s="55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2.75" customHeight="1">
      <c r="A179" s="55"/>
      <c r="B179" s="55"/>
      <c r="C179" s="55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2.75" customHeight="1">
      <c r="A180" s="55"/>
      <c r="B180" s="55"/>
      <c r="C180" s="55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2.75" customHeight="1">
      <c r="A181" s="55"/>
      <c r="B181" s="55"/>
      <c r="C181" s="55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2.75" customHeight="1">
      <c r="A182" s="55"/>
      <c r="B182" s="55"/>
      <c r="C182" s="55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2.75" customHeight="1">
      <c r="A183" s="55"/>
      <c r="B183" s="55"/>
      <c r="C183" s="55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2.75" customHeight="1">
      <c r="A184" s="55"/>
      <c r="B184" s="55"/>
      <c r="C184" s="55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2.75" customHeight="1">
      <c r="A185" s="55"/>
      <c r="B185" s="55"/>
      <c r="C185" s="55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2.75" customHeight="1">
      <c r="A186" s="55"/>
      <c r="B186" s="55"/>
      <c r="C186" s="55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2.75" customHeight="1">
      <c r="A187" s="55"/>
      <c r="B187" s="55"/>
      <c r="C187" s="55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2.75" customHeight="1">
      <c r="A188" s="55"/>
      <c r="B188" s="55"/>
      <c r="C188" s="55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2.75" customHeight="1">
      <c r="A189" s="55"/>
      <c r="B189" s="55"/>
      <c r="C189" s="55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2.75" customHeight="1">
      <c r="A190" s="55"/>
      <c r="B190" s="55"/>
      <c r="C190" s="55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2.75" customHeight="1">
      <c r="A191" s="55"/>
      <c r="B191" s="55"/>
      <c r="C191" s="55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2.75" customHeight="1">
      <c r="A192" s="55"/>
      <c r="B192" s="55"/>
      <c r="C192" s="55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2.75" customHeight="1">
      <c r="A193" s="55"/>
      <c r="B193" s="55"/>
      <c r="C193" s="55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2.75" customHeight="1">
      <c r="A194" s="55"/>
      <c r="B194" s="55"/>
      <c r="C194" s="55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2.75" customHeight="1">
      <c r="A195" s="55"/>
      <c r="B195" s="55"/>
      <c r="C195" s="55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2.75" customHeight="1">
      <c r="A196" s="55"/>
      <c r="B196" s="55"/>
      <c r="C196" s="55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2.75" customHeight="1">
      <c r="A197" s="55"/>
      <c r="B197" s="55"/>
      <c r="C197" s="55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2.75" customHeight="1">
      <c r="A198" s="55"/>
      <c r="B198" s="55"/>
      <c r="C198" s="55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2.75" customHeight="1">
      <c r="A199" s="55"/>
      <c r="B199" s="55"/>
      <c r="C199" s="55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2.75" customHeight="1">
      <c r="A200" s="55"/>
      <c r="B200" s="55"/>
      <c r="C200" s="55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2.75" customHeight="1">
      <c r="A201" s="55"/>
      <c r="B201" s="55"/>
      <c r="C201" s="55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2.75" customHeight="1">
      <c r="A202" s="55"/>
      <c r="B202" s="55"/>
      <c r="C202" s="55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2.75" customHeight="1">
      <c r="A203" s="55"/>
      <c r="B203" s="55"/>
      <c r="C203" s="55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2.75" customHeight="1">
      <c r="A204" s="55"/>
      <c r="B204" s="55"/>
      <c r="C204" s="55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2.75" customHeight="1">
      <c r="A205" s="55"/>
      <c r="B205" s="55"/>
      <c r="C205" s="55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2.75" customHeight="1">
      <c r="A206" s="55"/>
      <c r="B206" s="55"/>
      <c r="C206" s="55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2.75" customHeight="1">
      <c r="A207" s="55"/>
      <c r="B207" s="55"/>
      <c r="C207" s="55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2.75" customHeight="1">
      <c r="A208" s="55"/>
      <c r="B208" s="55"/>
      <c r="C208" s="55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2.75" customHeight="1">
      <c r="A209" s="55"/>
      <c r="B209" s="55"/>
      <c r="C209" s="55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2.75" customHeight="1">
      <c r="A210" s="55"/>
      <c r="B210" s="55"/>
      <c r="C210" s="55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2.75" customHeight="1">
      <c r="A211" s="55"/>
      <c r="B211" s="55"/>
      <c r="C211" s="55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2.75" customHeight="1">
      <c r="A212" s="55"/>
      <c r="B212" s="55"/>
      <c r="C212" s="55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2.75" customHeight="1">
      <c r="A213" s="55"/>
      <c r="B213" s="55"/>
      <c r="C213" s="55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2.75" customHeight="1">
      <c r="A214" s="55"/>
      <c r="B214" s="55"/>
      <c r="C214" s="55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2.75" customHeight="1">
      <c r="A215" s="55"/>
      <c r="B215" s="55"/>
      <c r="C215" s="55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2.75" customHeight="1">
      <c r="A216" s="55"/>
      <c r="B216" s="55"/>
      <c r="C216" s="55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2.75" customHeight="1">
      <c r="A217" s="55"/>
      <c r="B217" s="55"/>
      <c r="C217" s="55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2.75" customHeight="1">
      <c r="A218" s="55"/>
      <c r="B218" s="55"/>
      <c r="C218" s="55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2.75" customHeight="1">
      <c r="A219" s="55"/>
      <c r="B219" s="55"/>
      <c r="C219" s="55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2.75" customHeight="1">
      <c r="A220" s="55"/>
      <c r="B220" s="55"/>
      <c r="C220" s="55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2.75" customHeight="1">
      <c r="A221" s="55"/>
      <c r="B221" s="55"/>
      <c r="C221" s="55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2.75" customHeight="1">
      <c r="A222" s="55"/>
      <c r="B222" s="55"/>
      <c r="C222" s="55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2.75" customHeight="1">
      <c r="A223" s="55"/>
      <c r="B223" s="55"/>
      <c r="C223" s="55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2.75" customHeight="1">
      <c r="A224" s="55"/>
      <c r="B224" s="55"/>
      <c r="C224" s="55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2.75" customHeight="1">
      <c r="A225" s="55"/>
      <c r="B225" s="55"/>
      <c r="C225" s="55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2.75" customHeight="1">
      <c r="A226" s="55"/>
      <c r="B226" s="55"/>
      <c r="C226" s="55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2.75" customHeight="1">
      <c r="A227" s="55"/>
      <c r="B227" s="55"/>
      <c r="C227" s="55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2.75" customHeight="1">
      <c r="A228" s="55"/>
      <c r="B228" s="55"/>
      <c r="C228" s="55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2.75" customHeight="1">
      <c r="A229" s="55"/>
      <c r="B229" s="55"/>
      <c r="C229" s="55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2.75" customHeight="1">
      <c r="A230" s="55"/>
      <c r="B230" s="55"/>
      <c r="C230" s="55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2.75" customHeight="1">
      <c r="A231" s="55"/>
      <c r="B231" s="55"/>
      <c r="C231" s="55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2.75" customHeight="1">
      <c r="A232" s="55"/>
      <c r="B232" s="55"/>
      <c r="C232" s="55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2.75" customHeight="1">
      <c r="A233" s="55"/>
      <c r="B233" s="55"/>
      <c r="C233" s="55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2.75" customHeight="1">
      <c r="A234" s="55"/>
      <c r="B234" s="55"/>
      <c r="C234" s="55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2.75" customHeight="1">
      <c r="A235" s="55"/>
      <c r="B235" s="55"/>
      <c r="C235" s="55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2.75" customHeight="1">
      <c r="A236" s="55"/>
      <c r="B236" s="55"/>
      <c r="C236" s="55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2.75" customHeight="1">
      <c r="A237" s="55"/>
      <c r="B237" s="55"/>
      <c r="C237" s="55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2.75" customHeight="1">
      <c r="A238" s="55"/>
      <c r="B238" s="55"/>
      <c r="C238" s="55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2.75" customHeight="1">
      <c r="A239" s="55"/>
      <c r="B239" s="55"/>
      <c r="C239" s="55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2.75" customHeight="1">
      <c r="A240" s="55"/>
      <c r="B240" s="55"/>
      <c r="C240" s="55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2.75" customHeight="1">
      <c r="A241" s="55"/>
      <c r="B241" s="55"/>
      <c r="C241" s="55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2.75" customHeight="1">
      <c r="A242" s="55"/>
      <c r="B242" s="55"/>
      <c r="C242" s="55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2.75" customHeight="1">
      <c r="A243" s="55"/>
      <c r="B243" s="55"/>
      <c r="C243" s="55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2.75" customHeight="1">
      <c r="A244" s="55"/>
      <c r="B244" s="55"/>
      <c r="C244" s="55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2.75" customHeight="1">
      <c r="A245" s="55"/>
      <c r="B245" s="55"/>
      <c r="C245" s="55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2.75" customHeight="1">
      <c r="A246" s="55"/>
      <c r="B246" s="55"/>
      <c r="C246" s="55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2.75" customHeight="1">
      <c r="A247" s="55"/>
      <c r="B247" s="55"/>
      <c r="C247" s="55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2.75" customHeight="1">
      <c r="A248" s="55"/>
      <c r="B248" s="55"/>
      <c r="C248" s="55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2.75" customHeight="1">
      <c r="A249" s="55"/>
      <c r="B249" s="55"/>
      <c r="C249" s="55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2.75" customHeight="1">
      <c r="A250" s="55"/>
      <c r="B250" s="55"/>
      <c r="C250" s="55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2.75" customHeight="1">
      <c r="A251" s="55"/>
      <c r="B251" s="55"/>
      <c r="C251" s="55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2.75" customHeight="1">
      <c r="A252" s="55"/>
      <c r="B252" s="55"/>
      <c r="C252" s="55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2.75" customHeight="1">
      <c r="A253" s="55"/>
      <c r="B253" s="55"/>
      <c r="C253" s="55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2.75" customHeight="1">
      <c r="A254" s="55"/>
      <c r="B254" s="55"/>
      <c r="C254" s="55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2.75" customHeight="1">
      <c r="A255" s="55"/>
      <c r="B255" s="55"/>
      <c r="C255" s="55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2.75" customHeight="1">
      <c r="A256" s="55"/>
      <c r="B256" s="55"/>
      <c r="C256" s="55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2.75" customHeight="1">
      <c r="A257" s="55"/>
      <c r="B257" s="55"/>
      <c r="C257" s="55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2.75" customHeight="1">
      <c r="A258" s="55"/>
      <c r="B258" s="55"/>
      <c r="C258" s="55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2.75" customHeight="1">
      <c r="A259" s="55"/>
      <c r="B259" s="55"/>
      <c r="C259" s="55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2.75" customHeight="1">
      <c r="A260" s="55"/>
      <c r="B260" s="55"/>
      <c r="C260" s="55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2.75" customHeight="1">
      <c r="A261" s="55"/>
      <c r="B261" s="55"/>
      <c r="C261" s="55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2.75" customHeight="1">
      <c r="A262" s="55"/>
      <c r="B262" s="55"/>
      <c r="C262" s="55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2.75" customHeight="1">
      <c r="A263" s="55"/>
      <c r="B263" s="55"/>
      <c r="C263" s="55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2.75" customHeight="1">
      <c r="A264" s="55"/>
      <c r="B264" s="55"/>
      <c r="C264" s="55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2.75" customHeight="1">
      <c r="A265" s="55"/>
      <c r="B265" s="55"/>
      <c r="C265" s="55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2.75" customHeight="1">
      <c r="A266" s="55"/>
      <c r="B266" s="55"/>
      <c r="C266" s="55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2.75" customHeight="1">
      <c r="A267" s="55"/>
      <c r="B267" s="55"/>
      <c r="C267" s="55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2.75" customHeight="1">
      <c r="A268" s="55"/>
      <c r="B268" s="55"/>
      <c r="C268" s="55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2.75" customHeight="1">
      <c r="A269" s="55"/>
      <c r="B269" s="55"/>
      <c r="C269" s="55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2.75" customHeight="1">
      <c r="A270" s="55"/>
      <c r="B270" s="55"/>
      <c r="C270" s="55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2.75" customHeight="1">
      <c r="A271" s="55"/>
      <c r="B271" s="55"/>
      <c r="C271" s="55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2.75" customHeight="1">
      <c r="A272" s="55"/>
      <c r="B272" s="55"/>
      <c r="C272" s="55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2.75" customHeight="1">
      <c r="A273" s="55"/>
      <c r="B273" s="55"/>
      <c r="C273" s="55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2.75" customHeight="1">
      <c r="A274" s="55"/>
      <c r="B274" s="55"/>
      <c r="C274" s="55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2.75" customHeight="1">
      <c r="A275" s="55"/>
      <c r="B275" s="55"/>
      <c r="C275" s="55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2.75" customHeight="1">
      <c r="A276" s="55"/>
      <c r="B276" s="55"/>
      <c r="C276" s="55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2.75" customHeight="1">
      <c r="A277" s="55"/>
      <c r="B277" s="55"/>
      <c r="C277" s="55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2.75" customHeight="1">
      <c r="A278" s="55"/>
      <c r="B278" s="55"/>
      <c r="C278" s="55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2.75" customHeight="1">
      <c r="A279" s="55"/>
      <c r="B279" s="55"/>
      <c r="C279" s="55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2.75" customHeight="1">
      <c r="A280" s="55"/>
      <c r="B280" s="55"/>
      <c r="C280" s="55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2.75" customHeight="1">
      <c r="A281" s="55"/>
      <c r="B281" s="55"/>
      <c r="C281" s="55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2.75" customHeight="1">
      <c r="A282" s="55"/>
      <c r="B282" s="55"/>
      <c r="C282" s="55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2.75" customHeight="1">
      <c r="A283" s="55"/>
      <c r="B283" s="55"/>
      <c r="C283" s="55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2.75" customHeight="1">
      <c r="A284" s="55"/>
      <c r="B284" s="55"/>
      <c r="C284" s="55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2.75" customHeight="1">
      <c r="A285" s="55"/>
      <c r="B285" s="55"/>
      <c r="C285" s="55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2.75" customHeight="1">
      <c r="A286" s="55"/>
      <c r="B286" s="55"/>
      <c r="C286" s="55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2.75" customHeight="1">
      <c r="A287" s="55"/>
      <c r="B287" s="55"/>
      <c r="C287" s="55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2.75" customHeight="1">
      <c r="A288" s="55"/>
      <c r="B288" s="55"/>
      <c r="C288" s="55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2.75" customHeight="1">
      <c r="A289" s="55"/>
      <c r="B289" s="55"/>
      <c r="C289" s="55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2.75" customHeight="1">
      <c r="A290" s="55"/>
      <c r="B290" s="55"/>
      <c r="C290" s="55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2.75" customHeight="1">
      <c r="A291" s="55"/>
      <c r="B291" s="55"/>
      <c r="C291" s="55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2.75" customHeight="1">
      <c r="A292" s="55"/>
      <c r="B292" s="55"/>
      <c r="C292" s="55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2.75" customHeight="1">
      <c r="A293" s="55"/>
      <c r="B293" s="55"/>
      <c r="C293" s="55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2.75" customHeight="1">
      <c r="A294" s="55"/>
      <c r="B294" s="55"/>
      <c r="C294" s="55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2.75" customHeight="1">
      <c r="A295" s="55"/>
      <c r="B295" s="55"/>
      <c r="C295" s="55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2.75" customHeight="1">
      <c r="A296" s="55"/>
      <c r="B296" s="55"/>
      <c r="C296" s="55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2.75" customHeight="1">
      <c r="A297" s="55"/>
      <c r="B297" s="55"/>
      <c r="C297" s="55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2.75" customHeight="1">
      <c r="A298" s="55"/>
      <c r="B298" s="55"/>
      <c r="C298" s="55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2.75" customHeight="1">
      <c r="A299" s="55"/>
      <c r="B299" s="55"/>
      <c r="C299" s="55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2.75" customHeight="1">
      <c r="A300" s="55"/>
      <c r="B300" s="55"/>
      <c r="C300" s="55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2.75" customHeight="1">
      <c r="A301" s="55"/>
      <c r="B301" s="55"/>
      <c r="C301" s="55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2.75" customHeight="1">
      <c r="A302" s="55"/>
      <c r="B302" s="55"/>
      <c r="C302" s="55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2.75" customHeight="1">
      <c r="A303" s="55"/>
      <c r="B303" s="55"/>
      <c r="C303" s="55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2.75" customHeight="1">
      <c r="A304" s="55"/>
      <c r="B304" s="55"/>
      <c r="C304" s="55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2.75" customHeight="1">
      <c r="A305" s="55"/>
      <c r="B305" s="55"/>
      <c r="C305" s="55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2.75" customHeight="1">
      <c r="A306" s="55"/>
      <c r="B306" s="55"/>
      <c r="C306" s="55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2.75" customHeight="1">
      <c r="A307" s="55"/>
      <c r="B307" s="55"/>
      <c r="C307" s="55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2.75" customHeight="1">
      <c r="A308" s="55"/>
      <c r="B308" s="55"/>
      <c r="C308" s="55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2.75" customHeight="1">
      <c r="A309" s="55"/>
      <c r="B309" s="55"/>
      <c r="C309" s="55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2.75" customHeight="1">
      <c r="A310" s="55"/>
      <c r="B310" s="55"/>
      <c r="C310" s="55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2.75" customHeight="1">
      <c r="A311" s="55"/>
      <c r="B311" s="55"/>
      <c r="C311" s="55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2.75" customHeight="1">
      <c r="A312" s="55"/>
      <c r="B312" s="55"/>
      <c r="C312" s="55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2.75" customHeight="1">
      <c r="A313" s="55"/>
      <c r="B313" s="55"/>
      <c r="C313" s="55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2.75" customHeight="1">
      <c r="A314" s="55"/>
      <c r="B314" s="55"/>
      <c r="C314" s="55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2.75" customHeight="1">
      <c r="A315" s="55"/>
      <c r="B315" s="55"/>
      <c r="C315" s="55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2.75" customHeight="1">
      <c r="A316" s="55"/>
      <c r="B316" s="55"/>
      <c r="C316" s="55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2.75" customHeight="1">
      <c r="A317" s="55"/>
      <c r="B317" s="55"/>
      <c r="C317" s="55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2.75" customHeight="1">
      <c r="A318" s="55"/>
      <c r="B318" s="55"/>
      <c r="C318" s="55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2.75" customHeight="1">
      <c r="A319" s="55"/>
      <c r="B319" s="55"/>
      <c r="C319" s="55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2.75" customHeight="1">
      <c r="A320" s="55"/>
      <c r="B320" s="55"/>
      <c r="C320" s="55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2.75" customHeight="1">
      <c r="A321" s="55"/>
      <c r="B321" s="55"/>
      <c r="C321" s="55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2.75" customHeight="1">
      <c r="A322" s="55"/>
      <c r="B322" s="55"/>
      <c r="C322" s="55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2.75" customHeight="1">
      <c r="A323" s="55"/>
      <c r="B323" s="55"/>
      <c r="C323" s="55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2.75" customHeight="1">
      <c r="A324" s="55"/>
      <c r="B324" s="55"/>
      <c r="C324" s="55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2.75" customHeight="1">
      <c r="A325" s="55"/>
      <c r="B325" s="55"/>
      <c r="C325" s="55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2.75" customHeight="1">
      <c r="A326" s="55"/>
      <c r="B326" s="55"/>
      <c r="C326" s="55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2.75" customHeight="1">
      <c r="A327" s="55"/>
      <c r="B327" s="55"/>
      <c r="C327" s="55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2.75" customHeight="1">
      <c r="A328" s="55"/>
      <c r="B328" s="55"/>
      <c r="C328" s="55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2.75" customHeight="1">
      <c r="A329" s="55"/>
      <c r="B329" s="55"/>
      <c r="C329" s="55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2.75" customHeight="1">
      <c r="A330" s="55"/>
      <c r="B330" s="55"/>
      <c r="C330" s="55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2.75" customHeight="1">
      <c r="A331" s="55"/>
      <c r="B331" s="55"/>
      <c r="C331" s="55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2.75" customHeight="1">
      <c r="A332" s="55"/>
      <c r="B332" s="55"/>
      <c r="C332" s="55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2.75" customHeight="1">
      <c r="A333" s="55"/>
      <c r="B333" s="55"/>
      <c r="C333" s="55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2.75" customHeight="1">
      <c r="A334" s="55"/>
      <c r="B334" s="55"/>
      <c r="C334" s="55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2.75" customHeight="1">
      <c r="A335" s="55"/>
      <c r="B335" s="55"/>
      <c r="C335" s="55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2.75" customHeight="1">
      <c r="A336" s="55"/>
      <c r="B336" s="55"/>
      <c r="C336" s="55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2.75" customHeight="1">
      <c r="A337" s="55"/>
      <c r="B337" s="55"/>
      <c r="C337" s="55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2.75" customHeight="1">
      <c r="A338" s="55"/>
      <c r="B338" s="55"/>
      <c r="C338" s="55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2.75" customHeight="1">
      <c r="A339" s="55"/>
      <c r="B339" s="55"/>
      <c r="C339" s="55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2.75" customHeight="1">
      <c r="A340" s="55"/>
      <c r="B340" s="55"/>
      <c r="C340" s="55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2.75" customHeight="1">
      <c r="A341" s="55"/>
      <c r="B341" s="55"/>
      <c r="C341" s="55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2.75" customHeight="1">
      <c r="A342" s="55"/>
      <c r="B342" s="55"/>
      <c r="C342" s="55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2.75" customHeight="1">
      <c r="A343" s="55"/>
      <c r="B343" s="55"/>
      <c r="C343" s="55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2.75" customHeight="1">
      <c r="A344" s="55"/>
      <c r="B344" s="55"/>
      <c r="C344" s="55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2.75" customHeight="1">
      <c r="A345" s="55"/>
      <c r="B345" s="55"/>
      <c r="C345" s="55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2.75" customHeight="1">
      <c r="A346" s="55"/>
      <c r="B346" s="55"/>
      <c r="C346" s="55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2.75" customHeight="1">
      <c r="A347" s="55"/>
      <c r="B347" s="55"/>
      <c r="C347" s="55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2.75" customHeight="1">
      <c r="A348" s="55"/>
      <c r="B348" s="55"/>
      <c r="C348" s="55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2.75" customHeight="1">
      <c r="A349" s="55"/>
      <c r="B349" s="55"/>
      <c r="C349" s="55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2.75" customHeight="1">
      <c r="A350" s="55"/>
      <c r="B350" s="55"/>
      <c r="C350" s="55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2.75" customHeight="1">
      <c r="A351" s="55"/>
      <c r="B351" s="55"/>
      <c r="C351" s="55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2.75" customHeight="1">
      <c r="A352" s="55"/>
      <c r="B352" s="55"/>
      <c r="C352" s="55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2.75" customHeight="1">
      <c r="A353" s="55"/>
      <c r="B353" s="55"/>
      <c r="C353" s="55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2.75" customHeight="1">
      <c r="A354" s="55"/>
      <c r="B354" s="55"/>
      <c r="C354" s="55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2.75" customHeight="1">
      <c r="A355" s="55"/>
      <c r="B355" s="55"/>
      <c r="C355" s="55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2.75" customHeight="1">
      <c r="A356" s="55"/>
      <c r="B356" s="55"/>
      <c r="C356" s="55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2.75" customHeight="1">
      <c r="A357" s="55"/>
      <c r="B357" s="55"/>
      <c r="C357" s="55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2.75" customHeight="1">
      <c r="A358" s="55"/>
      <c r="B358" s="55"/>
      <c r="C358" s="55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2.75" customHeight="1">
      <c r="A359" s="55"/>
      <c r="B359" s="55"/>
      <c r="C359" s="55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2.75" customHeight="1">
      <c r="A360" s="55"/>
      <c r="B360" s="55"/>
      <c r="C360" s="55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2.75" customHeight="1">
      <c r="A361" s="55"/>
      <c r="B361" s="55"/>
      <c r="C361" s="55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2.75" customHeight="1">
      <c r="A362" s="55"/>
      <c r="B362" s="55"/>
      <c r="C362" s="55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2.75" customHeight="1">
      <c r="A363" s="55"/>
      <c r="B363" s="55"/>
      <c r="C363" s="55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2.75" customHeight="1">
      <c r="A364" s="55"/>
      <c r="B364" s="55"/>
      <c r="C364" s="55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2.75" customHeight="1">
      <c r="A365" s="55"/>
      <c r="B365" s="55"/>
      <c r="C365" s="55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2.75" customHeight="1">
      <c r="A366" s="55"/>
      <c r="B366" s="55"/>
      <c r="C366" s="55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2.75" customHeight="1">
      <c r="A367" s="55"/>
      <c r="B367" s="55"/>
      <c r="C367" s="55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2.75" customHeight="1">
      <c r="A368" s="55"/>
      <c r="B368" s="55"/>
      <c r="C368" s="55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2.75" customHeight="1">
      <c r="A369" s="55"/>
      <c r="B369" s="55"/>
      <c r="C369" s="55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2.75" customHeight="1">
      <c r="A370" s="55"/>
      <c r="B370" s="55"/>
      <c r="C370" s="55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2.75" customHeight="1">
      <c r="A371" s="55"/>
      <c r="B371" s="55"/>
      <c r="C371" s="55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2.75" customHeight="1">
      <c r="A372" s="55"/>
      <c r="B372" s="55"/>
      <c r="C372" s="55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2.75" customHeight="1">
      <c r="A373" s="55"/>
      <c r="B373" s="55"/>
      <c r="C373" s="55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2.75" customHeight="1">
      <c r="A374" s="55"/>
      <c r="B374" s="55"/>
      <c r="C374" s="55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2.75" customHeight="1">
      <c r="A375" s="55"/>
      <c r="B375" s="55"/>
      <c r="C375" s="55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2.75" customHeight="1">
      <c r="A376" s="55"/>
      <c r="B376" s="55"/>
      <c r="C376" s="55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2.75" customHeight="1">
      <c r="A377" s="55"/>
      <c r="B377" s="55"/>
      <c r="C377" s="55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2.75" customHeight="1">
      <c r="A378" s="55"/>
      <c r="B378" s="55"/>
      <c r="C378" s="55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2.75" customHeight="1">
      <c r="A379" s="55"/>
      <c r="B379" s="55"/>
      <c r="C379" s="55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2.75" customHeight="1">
      <c r="A380" s="55"/>
      <c r="B380" s="55"/>
      <c r="C380" s="55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2.75" customHeight="1">
      <c r="A381" s="55"/>
      <c r="B381" s="55"/>
      <c r="C381" s="55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2.75" customHeight="1">
      <c r="A382" s="55"/>
      <c r="B382" s="55"/>
      <c r="C382" s="55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2.75" customHeight="1">
      <c r="A383" s="55"/>
      <c r="B383" s="55"/>
      <c r="C383" s="55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2.75" customHeight="1">
      <c r="A384" s="55"/>
      <c r="B384" s="55"/>
      <c r="C384" s="55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2.75" customHeight="1">
      <c r="A385" s="55"/>
      <c r="B385" s="55"/>
      <c r="C385" s="55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2.75" customHeight="1">
      <c r="A386" s="55"/>
      <c r="B386" s="55"/>
      <c r="C386" s="55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2.75" customHeight="1">
      <c r="A387" s="55"/>
      <c r="B387" s="55"/>
      <c r="C387" s="55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2.75" customHeight="1">
      <c r="A388" s="55"/>
      <c r="B388" s="55"/>
      <c r="C388" s="55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2.75" customHeight="1">
      <c r="A389" s="55"/>
      <c r="B389" s="55"/>
      <c r="C389" s="55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2.75" customHeight="1">
      <c r="A390" s="55"/>
      <c r="B390" s="55"/>
      <c r="C390" s="55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2.75" customHeight="1">
      <c r="A391" s="55"/>
      <c r="B391" s="55"/>
      <c r="C391" s="55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2.75" customHeight="1">
      <c r="A392" s="55"/>
      <c r="B392" s="55"/>
      <c r="C392" s="55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2.75" customHeight="1">
      <c r="A393" s="55"/>
      <c r="B393" s="55"/>
      <c r="C393" s="55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2.75" customHeight="1">
      <c r="A394" s="55"/>
      <c r="B394" s="55"/>
      <c r="C394" s="55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2.75" customHeight="1">
      <c r="A395" s="55"/>
      <c r="B395" s="55"/>
      <c r="C395" s="55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2.75" customHeight="1">
      <c r="A396" s="55"/>
      <c r="B396" s="55"/>
      <c r="C396" s="55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2.75" customHeight="1">
      <c r="A397" s="55"/>
      <c r="B397" s="55"/>
      <c r="C397" s="55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2.75" customHeight="1">
      <c r="A398" s="55"/>
      <c r="B398" s="55"/>
      <c r="C398" s="55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2.75" customHeight="1">
      <c r="A399" s="55"/>
      <c r="B399" s="55"/>
      <c r="C399" s="55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2.75" customHeight="1">
      <c r="A400" s="55"/>
      <c r="B400" s="55"/>
      <c r="C400" s="55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2.75" customHeight="1">
      <c r="A401" s="55"/>
      <c r="B401" s="55"/>
      <c r="C401" s="55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2.75" customHeight="1">
      <c r="A402" s="55"/>
      <c r="B402" s="55"/>
      <c r="C402" s="55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2.75" customHeight="1">
      <c r="A403" s="55"/>
      <c r="B403" s="55"/>
      <c r="C403" s="55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2.75" customHeight="1">
      <c r="A404" s="55"/>
      <c r="B404" s="55"/>
      <c r="C404" s="55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2.75" customHeight="1">
      <c r="A405" s="55"/>
      <c r="B405" s="55"/>
      <c r="C405" s="55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2.75" customHeight="1">
      <c r="A406" s="55"/>
      <c r="B406" s="55"/>
      <c r="C406" s="55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2.75" customHeight="1">
      <c r="A407" s="55"/>
      <c r="B407" s="55"/>
      <c r="C407" s="55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2.75" customHeight="1">
      <c r="A408" s="55"/>
      <c r="B408" s="55"/>
      <c r="C408" s="55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2.75" customHeight="1">
      <c r="A409" s="55"/>
      <c r="B409" s="55"/>
      <c r="C409" s="55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2.75" customHeight="1">
      <c r="A410" s="55"/>
      <c r="B410" s="55"/>
      <c r="C410" s="55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2.75" customHeight="1">
      <c r="A411" s="55"/>
      <c r="B411" s="55"/>
      <c r="C411" s="55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2.75" customHeight="1">
      <c r="A412" s="55"/>
      <c r="B412" s="55"/>
      <c r="C412" s="55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2.75" customHeight="1">
      <c r="A413" s="55"/>
      <c r="B413" s="55"/>
      <c r="C413" s="55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2.75" customHeight="1">
      <c r="A414" s="55"/>
      <c r="B414" s="55"/>
      <c r="C414" s="55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2.75" customHeight="1">
      <c r="A415" s="55"/>
      <c r="B415" s="55"/>
      <c r="C415" s="55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2.75" customHeight="1">
      <c r="A416" s="55"/>
      <c r="B416" s="55"/>
      <c r="C416" s="55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2.75" customHeight="1">
      <c r="A417" s="55"/>
      <c r="B417" s="55"/>
      <c r="C417" s="55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2.75" customHeight="1">
      <c r="A418" s="55"/>
      <c r="B418" s="55"/>
      <c r="C418" s="55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2.75" customHeight="1">
      <c r="A419" s="55"/>
      <c r="B419" s="55"/>
      <c r="C419" s="55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2.75" customHeight="1">
      <c r="A420" s="55"/>
      <c r="B420" s="55"/>
      <c r="C420" s="55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2.75" customHeight="1">
      <c r="A421" s="55"/>
      <c r="B421" s="55"/>
      <c r="C421" s="55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2.75" customHeight="1">
      <c r="A422" s="55"/>
      <c r="B422" s="55"/>
      <c r="C422" s="55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2.75" customHeight="1">
      <c r="A423" s="55"/>
      <c r="B423" s="55"/>
      <c r="C423" s="55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2.75" customHeight="1">
      <c r="A424" s="55"/>
      <c r="B424" s="55"/>
      <c r="C424" s="55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2.75" customHeight="1">
      <c r="A425" s="55"/>
      <c r="B425" s="55"/>
      <c r="C425" s="55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2.75" customHeight="1">
      <c r="A426" s="55"/>
      <c r="B426" s="55"/>
      <c r="C426" s="55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2.75" customHeight="1">
      <c r="A427" s="55"/>
      <c r="B427" s="55"/>
      <c r="C427" s="55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2.75" customHeight="1">
      <c r="A428" s="55"/>
      <c r="B428" s="55"/>
      <c r="C428" s="55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2.75" customHeight="1">
      <c r="A429" s="55"/>
      <c r="B429" s="55"/>
      <c r="C429" s="55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2.75" customHeight="1">
      <c r="A430" s="55"/>
      <c r="B430" s="55"/>
      <c r="C430" s="55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2.75" customHeight="1">
      <c r="A431" s="55"/>
      <c r="B431" s="55"/>
      <c r="C431" s="55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2.75" customHeight="1">
      <c r="A432" s="55"/>
      <c r="B432" s="55"/>
      <c r="C432" s="55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2.75" customHeight="1">
      <c r="A433" s="55"/>
      <c r="B433" s="55"/>
      <c r="C433" s="55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2.75" customHeight="1">
      <c r="A434" s="55"/>
      <c r="B434" s="55"/>
      <c r="C434" s="55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2.75" customHeight="1">
      <c r="A435" s="55"/>
      <c r="B435" s="55"/>
      <c r="C435" s="55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2.75" customHeight="1">
      <c r="A436" s="55"/>
      <c r="B436" s="55"/>
      <c r="C436" s="55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2.75" customHeight="1">
      <c r="A437" s="55"/>
      <c r="B437" s="55"/>
      <c r="C437" s="55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2.75" customHeight="1">
      <c r="A438" s="55"/>
      <c r="B438" s="55"/>
      <c r="C438" s="55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2.75" customHeight="1">
      <c r="A439" s="55"/>
      <c r="B439" s="55"/>
      <c r="C439" s="55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2.75" customHeight="1">
      <c r="A440" s="55"/>
      <c r="B440" s="55"/>
      <c r="C440" s="55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2.75" customHeight="1">
      <c r="A441" s="55"/>
      <c r="B441" s="55"/>
      <c r="C441" s="55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2.75" customHeight="1">
      <c r="A442" s="55"/>
      <c r="B442" s="55"/>
      <c r="C442" s="55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2.75" customHeight="1">
      <c r="A443" s="55"/>
      <c r="B443" s="55"/>
      <c r="C443" s="55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2.75" customHeight="1">
      <c r="A444" s="55"/>
      <c r="B444" s="55"/>
      <c r="C444" s="55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2.75" customHeight="1">
      <c r="A445" s="55"/>
      <c r="B445" s="55"/>
      <c r="C445" s="55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2.75" customHeight="1">
      <c r="A446" s="55"/>
      <c r="B446" s="55"/>
      <c r="C446" s="55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2.75" customHeight="1">
      <c r="A447" s="55"/>
      <c r="B447" s="55"/>
      <c r="C447" s="55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2.75" customHeight="1">
      <c r="A448" s="55"/>
      <c r="B448" s="55"/>
      <c r="C448" s="55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2.75" customHeight="1">
      <c r="A449" s="55"/>
      <c r="B449" s="55"/>
      <c r="C449" s="55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2.75" customHeight="1">
      <c r="A450" s="55"/>
      <c r="B450" s="55"/>
      <c r="C450" s="55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2.75" customHeight="1">
      <c r="A451" s="55"/>
      <c r="B451" s="55"/>
      <c r="C451" s="55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2.75" customHeight="1">
      <c r="A452" s="55"/>
      <c r="B452" s="55"/>
      <c r="C452" s="55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2.75" customHeight="1">
      <c r="A453" s="55"/>
      <c r="B453" s="55"/>
      <c r="C453" s="55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2.75" customHeight="1">
      <c r="A454" s="55"/>
      <c r="B454" s="55"/>
      <c r="C454" s="55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2.75" customHeight="1">
      <c r="A455" s="55"/>
      <c r="B455" s="55"/>
      <c r="C455" s="55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2.75" customHeight="1">
      <c r="A456" s="55"/>
      <c r="B456" s="55"/>
      <c r="C456" s="55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2.75" customHeight="1">
      <c r="A457" s="55"/>
      <c r="B457" s="55"/>
      <c r="C457" s="55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2.75" customHeight="1">
      <c r="A458" s="55"/>
      <c r="B458" s="55"/>
      <c r="C458" s="55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2.75" customHeight="1">
      <c r="A459" s="55"/>
      <c r="B459" s="55"/>
      <c r="C459" s="55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2.75" customHeight="1">
      <c r="A460" s="55"/>
      <c r="B460" s="55"/>
      <c r="C460" s="55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2.75" customHeight="1">
      <c r="A461" s="55"/>
      <c r="B461" s="55"/>
      <c r="C461" s="55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2.75" customHeight="1">
      <c r="A462" s="55"/>
      <c r="B462" s="55"/>
      <c r="C462" s="55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2.75" customHeight="1">
      <c r="A463" s="55"/>
      <c r="B463" s="55"/>
      <c r="C463" s="55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2.75" customHeight="1">
      <c r="A464" s="55"/>
      <c r="B464" s="55"/>
      <c r="C464" s="55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2.75" customHeight="1">
      <c r="A465" s="55"/>
      <c r="B465" s="55"/>
      <c r="C465" s="55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2.75" customHeight="1">
      <c r="A466" s="55"/>
      <c r="B466" s="55"/>
      <c r="C466" s="55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2.75" customHeight="1">
      <c r="A467" s="55"/>
      <c r="B467" s="55"/>
      <c r="C467" s="55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2.75" customHeight="1">
      <c r="A468" s="55"/>
      <c r="B468" s="55"/>
      <c r="C468" s="55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2.75" customHeight="1">
      <c r="A469" s="55"/>
      <c r="B469" s="55"/>
      <c r="C469" s="55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2.75" customHeight="1">
      <c r="A470" s="55"/>
      <c r="B470" s="55"/>
      <c r="C470" s="55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2.75" customHeight="1">
      <c r="A471" s="55"/>
      <c r="B471" s="55"/>
      <c r="C471" s="55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2.75" customHeight="1">
      <c r="A472" s="55"/>
      <c r="B472" s="55"/>
      <c r="C472" s="55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2.75" customHeight="1">
      <c r="A473" s="55"/>
      <c r="B473" s="55"/>
      <c r="C473" s="55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2.75" customHeight="1">
      <c r="A474" s="55"/>
      <c r="B474" s="55"/>
      <c r="C474" s="55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2.75" customHeight="1">
      <c r="A475" s="55"/>
      <c r="B475" s="55"/>
      <c r="C475" s="55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2.75" customHeight="1">
      <c r="A476" s="55"/>
      <c r="B476" s="55"/>
      <c r="C476" s="55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2.75" customHeight="1">
      <c r="A477" s="55"/>
      <c r="B477" s="55"/>
      <c r="C477" s="55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2.75" customHeight="1">
      <c r="A478" s="55"/>
      <c r="B478" s="55"/>
      <c r="C478" s="55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2.75" customHeight="1">
      <c r="A479" s="55"/>
      <c r="B479" s="55"/>
      <c r="C479" s="55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2.75" customHeight="1">
      <c r="A480" s="55"/>
      <c r="B480" s="55"/>
      <c r="C480" s="55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2.75" customHeight="1">
      <c r="A481" s="55"/>
      <c r="B481" s="55"/>
      <c r="C481" s="55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2.75" customHeight="1">
      <c r="A482" s="55"/>
      <c r="B482" s="55"/>
      <c r="C482" s="55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2.75" customHeight="1">
      <c r="A483" s="55"/>
      <c r="B483" s="55"/>
      <c r="C483" s="55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2.75" customHeight="1">
      <c r="A484" s="55"/>
      <c r="B484" s="55"/>
      <c r="C484" s="55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2.75" customHeight="1">
      <c r="A485" s="55"/>
      <c r="B485" s="55"/>
      <c r="C485" s="55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2.75" customHeight="1">
      <c r="A486" s="55"/>
      <c r="B486" s="55"/>
      <c r="C486" s="55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2.75" customHeight="1">
      <c r="A487" s="55"/>
      <c r="B487" s="55"/>
      <c r="C487" s="55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2.75" customHeight="1">
      <c r="A488" s="55"/>
      <c r="B488" s="55"/>
      <c r="C488" s="55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2.75" customHeight="1">
      <c r="A489" s="55"/>
      <c r="B489" s="55"/>
      <c r="C489" s="55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2.75" customHeight="1">
      <c r="A490" s="55"/>
      <c r="B490" s="55"/>
      <c r="C490" s="55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2.75" customHeight="1">
      <c r="A491" s="55"/>
      <c r="B491" s="55"/>
      <c r="C491" s="55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2.75" customHeight="1">
      <c r="A492" s="55"/>
      <c r="B492" s="55"/>
      <c r="C492" s="55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2.75" customHeight="1">
      <c r="A493" s="55"/>
      <c r="B493" s="55"/>
      <c r="C493" s="55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2.75" customHeight="1">
      <c r="A494" s="55"/>
      <c r="B494" s="55"/>
      <c r="C494" s="55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2.75" customHeight="1">
      <c r="A495" s="55"/>
      <c r="B495" s="55"/>
      <c r="C495" s="55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2.75" customHeight="1">
      <c r="A496" s="55"/>
      <c r="B496" s="55"/>
      <c r="C496" s="55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2.75" customHeight="1">
      <c r="A497" s="55"/>
      <c r="B497" s="55"/>
      <c r="C497" s="55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2.75" customHeight="1">
      <c r="A498" s="55"/>
      <c r="B498" s="55"/>
      <c r="C498" s="55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2.75" customHeight="1">
      <c r="A499" s="55"/>
      <c r="B499" s="55"/>
      <c r="C499" s="55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2.75" customHeight="1">
      <c r="A500" s="55"/>
      <c r="B500" s="55"/>
      <c r="C500" s="55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2.75" customHeight="1">
      <c r="A501" s="55"/>
      <c r="B501" s="55"/>
      <c r="C501" s="55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2.75" customHeight="1">
      <c r="A502" s="55"/>
      <c r="B502" s="55"/>
      <c r="C502" s="55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2.75" customHeight="1">
      <c r="A503" s="55"/>
      <c r="B503" s="55"/>
      <c r="C503" s="55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2.75" customHeight="1">
      <c r="A504" s="55"/>
      <c r="B504" s="55"/>
      <c r="C504" s="55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2.75" customHeight="1">
      <c r="A505" s="55"/>
      <c r="B505" s="55"/>
      <c r="C505" s="55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2.75" customHeight="1">
      <c r="A506" s="55"/>
      <c r="B506" s="55"/>
      <c r="C506" s="55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2.75" customHeight="1">
      <c r="A507" s="55"/>
      <c r="B507" s="55"/>
      <c r="C507" s="55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2.75" customHeight="1">
      <c r="A508" s="55"/>
      <c r="B508" s="55"/>
      <c r="C508" s="55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2.75" customHeight="1">
      <c r="A509" s="55"/>
      <c r="B509" s="55"/>
      <c r="C509" s="55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2.75" customHeight="1">
      <c r="A510" s="55"/>
      <c r="B510" s="55"/>
      <c r="C510" s="55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2.75" customHeight="1">
      <c r="A511" s="55"/>
      <c r="B511" s="55"/>
      <c r="C511" s="55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2.75" customHeight="1">
      <c r="A512" s="55"/>
      <c r="B512" s="55"/>
      <c r="C512" s="55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2.75" customHeight="1">
      <c r="A513" s="55"/>
      <c r="B513" s="55"/>
      <c r="C513" s="55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2.75" customHeight="1">
      <c r="A514" s="55"/>
      <c r="B514" s="55"/>
      <c r="C514" s="55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2.75" customHeight="1">
      <c r="A515" s="55"/>
      <c r="B515" s="55"/>
      <c r="C515" s="55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2.75" customHeight="1">
      <c r="A516" s="55"/>
      <c r="B516" s="55"/>
      <c r="C516" s="55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2.75" customHeight="1">
      <c r="A517" s="55"/>
      <c r="B517" s="55"/>
      <c r="C517" s="55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2.75" customHeight="1">
      <c r="A518" s="55"/>
      <c r="B518" s="55"/>
      <c r="C518" s="55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2.75" customHeight="1">
      <c r="A519" s="55"/>
      <c r="B519" s="55"/>
      <c r="C519" s="55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2.75" customHeight="1">
      <c r="A520" s="55"/>
      <c r="B520" s="55"/>
      <c r="C520" s="55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2.75" customHeight="1">
      <c r="A521" s="55"/>
      <c r="B521" s="55"/>
      <c r="C521" s="55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2.75" customHeight="1">
      <c r="A522" s="55"/>
      <c r="B522" s="55"/>
      <c r="C522" s="55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2.75" customHeight="1">
      <c r="A523" s="55"/>
      <c r="B523" s="55"/>
      <c r="C523" s="55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2.75" customHeight="1">
      <c r="A524" s="55"/>
      <c r="B524" s="55"/>
      <c r="C524" s="55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2.75" customHeight="1">
      <c r="A525" s="55"/>
      <c r="B525" s="55"/>
      <c r="C525" s="55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2.75" customHeight="1">
      <c r="A526" s="55"/>
      <c r="B526" s="55"/>
      <c r="C526" s="55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2.75" customHeight="1">
      <c r="A527" s="55"/>
      <c r="B527" s="55"/>
      <c r="C527" s="55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2.75" customHeight="1">
      <c r="A528" s="55"/>
      <c r="B528" s="55"/>
      <c r="C528" s="55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2.75" customHeight="1">
      <c r="A529" s="55"/>
      <c r="B529" s="55"/>
      <c r="C529" s="55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2.75" customHeight="1">
      <c r="A530" s="55"/>
      <c r="B530" s="55"/>
      <c r="C530" s="55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2.75" customHeight="1">
      <c r="A531" s="55"/>
      <c r="B531" s="55"/>
      <c r="C531" s="55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2.75" customHeight="1">
      <c r="A532" s="55"/>
      <c r="B532" s="55"/>
      <c r="C532" s="55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2.75" customHeight="1">
      <c r="A533" s="55"/>
      <c r="B533" s="55"/>
      <c r="C533" s="55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2.75" customHeight="1">
      <c r="A534" s="55"/>
      <c r="B534" s="55"/>
      <c r="C534" s="55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2.75" customHeight="1">
      <c r="A535" s="55"/>
      <c r="B535" s="55"/>
      <c r="C535" s="55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2.75" customHeight="1">
      <c r="A536" s="55"/>
      <c r="B536" s="55"/>
      <c r="C536" s="55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2.75" customHeight="1">
      <c r="A537" s="55"/>
      <c r="B537" s="55"/>
      <c r="C537" s="55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2.75" customHeight="1">
      <c r="A538" s="55"/>
      <c r="B538" s="55"/>
      <c r="C538" s="55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2.75" customHeight="1">
      <c r="A539" s="55"/>
      <c r="B539" s="55"/>
      <c r="C539" s="55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2.75" customHeight="1">
      <c r="A540" s="55"/>
      <c r="B540" s="55"/>
      <c r="C540" s="55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2.75" customHeight="1">
      <c r="A541" s="55"/>
      <c r="B541" s="55"/>
      <c r="C541" s="55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2.75" customHeight="1">
      <c r="A542" s="55"/>
      <c r="B542" s="55"/>
      <c r="C542" s="55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2.75" customHeight="1">
      <c r="A543" s="55"/>
      <c r="B543" s="55"/>
      <c r="C543" s="55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2.75" customHeight="1">
      <c r="A544" s="55"/>
      <c r="B544" s="55"/>
      <c r="C544" s="55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2.75" customHeight="1">
      <c r="A545" s="55"/>
      <c r="B545" s="55"/>
      <c r="C545" s="55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2.75" customHeight="1">
      <c r="A546" s="55"/>
      <c r="B546" s="55"/>
      <c r="C546" s="55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2.75" customHeight="1">
      <c r="A547" s="55"/>
      <c r="B547" s="55"/>
      <c r="C547" s="55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2.75" customHeight="1">
      <c r="A548" s="55"/>
      <c r="B548" s="55"/>
      <c r="C548" s="55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2.75" customHeight="1">
      <c r="A549" s="55"/>
      <c r="B549" s="55"/>
      <c r="C549" s="55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2.75" customHeight="1">
      <c r="A550" s="55"/>
      <c r="B550" s="55"/>
      <c r="C550" s="55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2.75" customHeight="1">
      <c r="A551" s="55"/>
      <c r="B551" s="55"/>
      <c r="C551" s="55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2.75" customHeight="1">
      <c r="A552" s="55"/>
      <c r="B552" s="55"/>
      <c r="C552" s="55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2.75" customHeight="1">
      <c r="A553" s="55"/>
      <c r="B553" s="55"/>
      <c r="C553" s="55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2.75" customHeight="1">
      <c r="A554" s="55"/>
      <c r="B554" s="55"/>
      <c r="C554" s="55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2.75" customHeight="1">
      <c r="A555" s="55"/>
      <c r="B555" s="55"/>
      <c r="C555" s="55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2.75" customHeight="1">
      <c r="A556" s="55"/>
      <c r="B556" s="55"/>
      <c r="C556" s="55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2.75" customHeight="1">
      <c r="A557" s="55"/>
      <c r="B557" s="55"/>
      <c r="C557" s="55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2.75" customHeight="1">
      <c r="A558" s="55"/>
      <c r="B558" s="55"/>
      <c r="C558" s="55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2.75" customHeight="1">
      <c r="A559" s="55"/>
      <c r="B559" s="55"/>
      <c r="C559" s="55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2.75" customHeight="1">
      <c r="A560" s="55"/>
      <c r="B560" s="55"/>
      <c r="C560" s="55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2.75" customHeight="1">
      <c r="A561" s="55"/>
      <c r="B561" s="55"/>
      <c r="C561" s="55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2.75" customHeight="1">
      <c r="A562" s="55"/>
      <c r="B562" s="55"/>
      <c r="C562" s="55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2.75" customHeight="1">
      <c r="A563" s="55"/>
      <c r="B563" s="55"/>
      <c r="C563" s="55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2.75" customHeight="1">
      <c r="A564" s="55"/>
      <c r="B564" s="55"/>
      <c r="C564" s="55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2.75" customHeight="1">
      <c r="A565" s="55"/>
      <c r="B565" s="55"/>
      <c r="C565" s="55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2.75" customHeight="1">
      <c r="A566" s="55"/>
      <c r="B566" s="55"/>
      <c r="C566" s="55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2.75" customHeight="1">
      <c r="A567" s="55"/>
      <c r="B567" s="55"/>
      <c r="C567" s="55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2.75" customHeight="1">
      <c r="A568" s="55"/>
      <c r="B568" s="55"/>
      <c r="C568" s="55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2.75" customHeight="1">
      <c r="A569" s="55"/>
      <c r="B569" s="55"/>
      <c r="C569" s="55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2.75" customHeight="1">
      <c r="A570" s="55"/>
      <c r="B570" s="55"/>
      <c r="C570" s="55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2.75" customHeight="1">
      <c r="A571" s="55"/>
      <c r="B571" s="55"/>
      <c r="C571" s="55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2.75" customHeight="1">
      <c r="A572" s="55"/>
      <c r="B572" s="55"/>
      <c r="C572" s="55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2.75" customHeight="1">
      <c r="A573" s="55"/>
      <c r="B573" s="55"/>
      <c r="C573" s="55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2.75" customHeight="1">
      <c r="A574" s="55"/>
      <c r="B574" s="55"/>
      <c r="C574" s="55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2.75" customHeight="1">
      <c r="A575" s="55"/>
      <c r="B575" s="55"/>
      <c r="C575" s="55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2.75" customHeight="1">
      <c r="A576" s="55"/>
      <c r="B576" s="55"/>
      <c r="C576" s="55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2.75" customHeight="1">
      <c r="A577" s="55"/>
      <c r="B577" s="55"/>
      <c r="C577" s="55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2.75" customHeight="1">
      <c r="A578" s="55"/>
      <c r="B578" s="55"/>
      <c r="C578" s="55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2.75" customHeight="1">
      <c r="A579" s="55"/>
      <c r="B579" s="55"/>
      <c r="C579" s="55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2.75" customHeight="1">
      <c r="A580" s="55"/>
      <c r="B580" s="55"/>
      <c r="C580" s="55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2.75" customHeight="1">
      <c r="A581" s="55"/>
      <c r="B581" s="55"/>
      <c r="C581" s="55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2.75" customHeight="1">
      <c r="A582" s="55"/>
      <c r="B582" s="55"/>
      <c r="C582" s="55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2.75" customHeight="1">
      <c r="A583" s="55"/>
      <c r="B583" s="55"/>
      <c r="C583" s="55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2.75" customHeight="1">
      <c r="A584" s="55"/>
      <c r="B584" s="55"/>
      <c r="C584" s="55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2.75" customHeight="1">
      <c r="A585" s="55"/>
      <c r="B585" s="55"/>
      <c r="C585" s="55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2.75" customHeight="1">
      <c r="A586" s="55"/>
      <c r="B586" s="55"/>
      <c r="C586" s="55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2.75" customHeight="1">
      <c r="A587" s="55"/>
      <c r="B587" s="55"/>
      <c r="C587" s="55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2.75" customHeight="1">
      <c r="A588" s="55"/>
      <c r="B588" s="55"/>
      <c r="C588" s="55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2.75" customHeight="1">
      <c r="A589" s="55"/>
      <c r="B589" s="55"/>
      <c r="C589" s="55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2.75" customHeight="1">
      <c r="A590" s="55"/>
      <c r="B590" s="55"/>
      <c r="C590" s="55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2.75" customHeight="1">
      <c r="A591" s="55"/>
      <c r="B591" s="55"/>
      <c r="C591" s="55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2.75" customHeight="1">
      <c r="A592" s="55"/>
      <c r="B592" s="55"/>
      <c r="C592" s="55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2.75" customHeight="1">
      <c r="A593" s="55"/>
      <c r="B593" s="55"/>
      <c r="C593" s="55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2.75" customHeight="1">
      <c r="A594" s="55"/>
      <c r="B594" s="55"/>
      <c r="C594" s="55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2.75" customHeight="1">
      <c r="A595" s="55"/>
      <c r="B595" s="55"/>
      <c r="C595" s="55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2.75" customHeight="1">
      <c r="A596" s="55"/>
      <c r="B596" s="55"/>
      <c r="C596" s="55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2.75" customHeight="1">
      <c r="A597" s="55"/>
      <c r="B597" s="55"/>
      <c r="C597" s="55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2.75" customHeight="1">
      <c r="A598" s="55"/>
      <c r="B598" s="55"/>
      <c r="C598" s="55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2.75" customHeight="1">
      <c r="A599" s="55"/>
      <c r="B599" s="55"/>
      <c r="C599" s="55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2.75" customHeight="1">
      <c r="A600" s="55"/>
      <c r="B600" s="55"/>
      <c r="C600" s="55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2.75" customHeight="1">
      <c r="A601" s="55"/>
      <c r="B601" s="55"/>
      <c r="C601" s="55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2.75" customHeight="1">
      <c r="A602" s="55"/>
      <c r="B602" s="55"/>
      <c r="C602" s="55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2.75" customHeight="1">
      <c r="A603" s="55"/>
      <c r="B603" s="55"/>
      <c r="C603" s="55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2.75" customHeight="1">
      <c r="A604" s="55"/>
      <c r="B604" s="55"/>
      <c r="C604" s="55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2.75" customHeight="1">
      <c r="A605" s="55"/>
      <c r="B605" s="55"/>
      <c r="C605" s="55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2.75" customHeight="1">
      <c r="A606" s="55"/>
      <c r="B606" s="55"/>
      <c r="C606" s="55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2.75" customHeight="1">
      <c r="A607" s="55"/>
      <c r="B607" s="55"/>
      <c r="C607" s="55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2.75" customHeight="1">
      <c r="A608" s="55"/>
      <c r="B608" s="55"/>
      <c r="C608" s="55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2.75" customHeight="1">
      <c r="A609" s="55"/>
      <c r="B609" s="55"/>
      <c r="C609" s="55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2.75" customHeight="1">
      <c r="A610" s="55"/>
      <c r="B610" s="55"/>
      <c r="C610" s="55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2.75" customHeight="1">
      <c r="A611" s="55"/>
      <c r="B611" s="55"/>
      <c r="C611" s="55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2.75" customHeight="1">
      <c r="A612" s="55"/>
      <c r="B612" s="55"/>
      <c r="C612" s="55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2.75" customHeight="1">
      <c r="A613" s="55"/>
      <c r="B613" s="55"/>
      <c r="C613" s="55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2.75" customHeight="1">
      <c r="A614" s="55"/>
      <c r="B614" s="55"/>
      <c r="C614" s="55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2.75" customHeight="1">
      <c r="A615" s="55"/>
      <c r="B615" s="55"/>
      <c r="C615" s="55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2.75" customHeight="1">
      <c r="A616" s="55"/>
      <c r="B616" s="55"/>
      <c r="C616" s="55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2.75" customHeight="1">
      <c r="A617" s="55"/>
      <c r="B617" s="55"/>
      <c r="C617" s="55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2.75" customHeight="1">
      <c r="A618" s="55"/>
      <c r="B618" s="55"/>
      <c r="C618" s="55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2.75" customHeight="1">
      <c r="A619" s="55"/>
      <c r="B619" s="55"/>
      <c r="C619" s="55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2.75" customHeight="1">
      <c r="A620" s="55"/>
      <c r="B620" s="55"/>
      <c r="C620" s="55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2.75" customHeight="1">
      <c r="A621" s="55"/>
      <c r="B621" s="55"/>
      <c r="C621" s="55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2.75" customHeight="1">
      <c r="A622" s="55"/>
      <c r="B622" s="55"/>
      <c r="C622" s="55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2.75" customHeight="1">
      <c r="A623" s="55"/>
      <c r="B623" s="55"/>
      <c r="C623" s="55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2.75" customHeight="1">
      <c r="A624" s="55"/>
      <c r="B624" s="55"/>
      <c r="C624" s="55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2.75" customHeight="1">
      <c r="A625" s="55"/>
      <c r="B625" s="55"/>
      <c r="C625" s="55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2.75" customHeight="1">
      <c r="A626" s="55"/>
      <c r="B626" s="55"/>
      <c r="C626" s="55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2.75" customHeight="1">
      <c r="A627" s="55"/>
      <c r="B627" s="55"/>
      <c r="C627" s="55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2.75" customHeight="1">
      <c r="A628" s="55"/>
      <c r="B628" s="55"/>
      <c r="C628" s="55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2.75" customHeight="1">
      <c r="A629" s="55"/>
      <c r="B629" s="55"/>
      <c r="C629" s="55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2.75" customHeight="1">
      <c r="A630" s="55"/>
      <c r="B630" s="55"/>
      <c r="C630" s="55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2.75" customHeight="1">
      <c r="A631" s="55"/>
      <c r="B631" s="55"/>
      <c r="C631" s="55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2.75" customHeight="1">
      <c r="A632" s="55"/>
      <c r="B632" s="55"/>
      <c r="C632" s="55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2.75" customHeight="1">
      <c r="A633" s="55"/>
      <c r="B633" s="55"/>
      <c r="C633" s="55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2.75" customHeight="1">
      <c r="A634" s="55"/>
      <c r="B634" s="55"/>
      <c r="C634" s="55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2.75" customHeight="1">
      <c r="A635" s="55"/>
      <c r="B635" s="55"/>
      <c r="C635" s="55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2.75" customHeight="1">
      <c r="A636" s="55"/>
      <c r="B636" s="55"/>
      <c r="C636" s="55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2.75" customHeight="1">
      <c r="A637" s="55"/>
      <c r="B637" s="55"/>
      <c r="C637" s="55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2.75" customHeight="1">
      <c r="A638" s="55"/>
      <c r="B638" s="55"/>
      <c r="C638" s="55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2.75" customHeight="1">
      <c r="A639" s="55"/>
      <c r="B639" s="55"/>
      <c r="C639" s="55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2.75" customHeight="1">
      <c r="A640" s="55"/>
      <c r="B640" s="55"/>
      <c r="C640" s="55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2.75" customHeight="1">
      <c r="A641" s="55"/>
      <c r="B641" s="55"/>
      <c r="C641" s="55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2.75" customHeight="1">
      <c r="A642" s="55"/>
      <c r="B642" s="55"/>
      <c r="C642" s="55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2.75" customHeight="1">
      <c r="A643" s="55"/>
      <c r="B643" s="55"/>
      <c r="C643" s="55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2.75" customHeight="1">
      <c r="A644" s="55"/>
      <c r="B644" s="55"/>
      <c r="C644" s="55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2.75" customHeight="1">
      <c r="A645" s="55"/>
      <c r="B645" s="55"/>
      <c r="C645" s="55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2.75" customHeight="1">
      <c r="A646" s="55"/>
      <c r="B646" s="55"/>
      <c r="C646" s="55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2.75" customHeight="1">
      <c r="A647" s="55"/>
      <c r="B647" s="55"/>
      <c r="C647" s="55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2.75" customHeight="1">
      <c r="A648" s="55"/>
      <c r="B648" s="55"/>
      <c r="C648" s="55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2.75" customHeight="1">
      <c r="A649" s="55"/>
      <c r="B649" s="55"/>
      <c r="C649" s="55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2.75" customHeight="1">
      <c r="A650" s="55"/>
      <c r="B650" s="55"/>
      <c r="C650" s="55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2.75" customHeight="1">
      <c r="A651" s="55"/>
      <c r="B651" s="55"/>
      <c r="C651" s="55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2.75" customHeight="1">
      <c r="A652" s="55"/>
      <c r="B652" s="55"/>
      <c r="C652" s="55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2.75" customHeight="1">
      <c r="A653" s="55"/>
      <c r="B653" s="55"/>
      <c r="C653" s="55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2.75" customHeight="1">
      <c r="A654" s="55"/>
      <c r="B654" s="55"/>
      <c r="C654" s="55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2.75" customHeight="1">
      <c r="A655" s="55"/>
      <c r="B655" s="55"/>
      <c r="C655" s="55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2.75" customHeight="1">
      <c r="A656" s="55"/>
      <c r="B656" s="55"/>
      <c r="C656" s="55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2.75" customHeight="1">
      <c r="A657" s="55"/>
      <c r="B657" s="55"/>
      <c r="C657" s="55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2.75" customHeight="1">
      <c r="A658" s="55"/>
      <c r="B658" s="55"/>
      <c r="C658" s="55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2.75" customHeight="1">
      <c r="A659" s="55"/>
      <c r="B659" s="55"/>
      <c r="C659" s="55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2.75" customHeight="1">
      <c r="A660" s="55"/>
      <c r="B660" s="55"/>
      <c r="C660" s="55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2.75" customHeight="1">
      <c r="A661" s="55"/>
      <c r="B661" s="55"/>
      <c r="C661" s="55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2.75" customHeight="1">
      <c r="A662" s="55"/>
      <c r="B662" s="55"/>
      <c r="C662" s="55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2.75" customHeight="1">
      <c r="A663" s="55"/>
      <c r="B663" s="55"/>
      <c r="C663" s="55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2.75" customHeight="1">
      <c r="A664" s="55"/>
      <c r="B664" s="55"/>
      <c r="C664" s="55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2.75" customHeight="1">
      <c r="A665" s="55"/>
      <c r="B665" s="55"/>
      <c r="C665" s="55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2.75" customHeight="1">
      <c r="A666" s="55"/>
      <c r="B666" s="55"/>
      <c r="C666" s="55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2.75" customHeight="1">
      <c r="A667" s="55"/>
      <c r="B667" s="55"/>
      <c r="C667" s="55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2.75" customHeight="1">
      <c r="A668" s="55"/>
      <c r="B668" s="55"/>
      <c r="C668" s="55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2.75" customHeight="1">
      <c r="A669" s="55"/>
      <c r="B669" s="55"/>
      <c r="C669" s="55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2.75" customHeight="1">
      <c r="A670" s="55"/>
      <c r="B670" s="55"/>
      <c r="C670" s="55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2.75" customHeight="1">
      <c r="A671" s="55"/>
      <c r="B671" s="55"/>
      <c r="C671" s="55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2.75" customHeight="1">
      <c r="A672" s="55"/>
      <c r="B672" s="55"/>
      <c r="C672" s="55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2.75" customHeight="1">
      <c r="A673" s="55"/>
      <c r="B673" s="55"/>
      <c r="C673" s="55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2.75" customHeight="1">
      <c r="A674" s="55"/>
      <c r="B674" s="55"/>
      <c r="C674" s="55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2.75" customHeight="1">
      <c r="A675" s="55"/>
      <c r="B675" s="55"/>
      <c r="C675" s="55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2.75" customHeight="1">
      <c r="A676" s="55"/>
      <c r="B676" s="55"/>
      <c r="C676" s="55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2.75" customHeight="1">
      <c r="A677" s="55"/>
      <c r="B677" s="55"/>
      <c r="C677" s="55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2.75" customHeight="1">
      <c r="A678" s="55"/>
      <c r="B678" s="55"/>
      <c r="C678" s="55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2.75" customHeight="1">
      <c r="A679" s="55"/>
      <c r="B679" s="55"/>
      <c r="C679" s="55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2.75" customHeight="1">
      <c r="A680" s="55"/>
      <c r="B680" s="55"/>
      <c r="C680" s="55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2.75" customHeight="1">
      <c r="A681" s="55"/>
      <c r="B681" s="55"/>
      <c r="C681" s="55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2.75" customHeight="1">
      <c r="A682" s="55"/>
      <c r="B682" s="55"/>
      <c r="C682" s="55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2.75" customHeight="1">
      <c r="A683" s="55"/>
      <c r="B683" s="55"/>
      <c r="C683" s="55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2.75" customHeight="1">
      <c r="A684" s="55"/>
      <c r="B684" s="55"/>
      <c r="C684" s="55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2.75" customHeight="1">
      <c r="A685" s="55"/>
      <c r="B685" s="55"/>
      <c r="C685" s="55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2.75" customHeight="1">
      <c r="A686" s="55"/>
      <c r="B686" s="55"/>
      <c r="C686" s="55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2.75" customHeight="1">
      <c r="A687" s="55"/>
      <c r="B687" s="55"/>
      <c r="C687" s="55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2.75" customHeight="1">
      <c r="A688" s="55"/>
      <c r="B688" s="55"/>
      <c r="C688" s="55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2.75" customHeight="1">
      <c r="A689" s="55"/>
      <c r="B689" s="55"/>
      <c r="C689" s="55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2.75" customHeight="1">
      <c r="A690" s="55"/>
      <c r="B690" s="55"/>
      <c r="C690" s="55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2.75" customHeight="1">
      <c r="A691" s="55"/>
      <c r="B691" s="55"/>
      <c r="C691" s="55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2.75" customHeight="1">
      <c r="A692" s="55"/>
      <c r="B692" s="55"/>
      <c r="C692" s="55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2.75" customHeight="1">
      <c r="A693" s="55"/>
      <c r="B693" s="55"/>
      <c r="C693" s="55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2.75" customHeight="1">
      <c r="A694" s="55"/>
      <c r="B694" s="55"/>
      <c r="C694" s="55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2.75" customHeight="1">
      <c r="A695" s="55"/>
      <c r="B695" s="55"/>
      <c r="C695" s="55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2.75" customHeight="1">
      <c r="A696" s="55"/>
      <c r="B696" s="55"/>
      <c r="C696" s="55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2.75" customHeight="1">
      <c r="A697" s="55"/>
      <c r="B697" s="55"/>
      <c r="C697" s="55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2.75" customHeight="1">
      <c r="A698" s="55"/>
      <c r="B698" s="55"/>
      <c r="C698" s="55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2.75" customHeight="1">
      <c r="A699" s="55"/>
      <c r="B699" s="55"/>
      <c r="C699" s="55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2.75" customHeight="1">
      <c r="A700" s="55"/>
      <c r="B700" s="55"/>
      <c r="C700" s="55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2.75" customHeight="1">
      <c r="A701" s="55"/>
      <c r="B701" s="55"/>
      <c r="C701" s="55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2.75" customHeight="1">
      <c r="A702" s="55"/>
      <c r="B702" s="55"/>
      <c r="C702" s="55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2.75" customHeight="1">
      <c r="A703" s="55"/>
      <c r="B703" s="55"/>
      <c r="C703" s="55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2.75" customHeight="1">
      <c r="A704" s="55"/>
      <c r="B704" s="55"/>
      <c r="C704" s="55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2.75" customHeight="1">
      <c r="A705" s="55"/>
      <c r="B705" s="55"/>
      <c r="C705" s="55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2.75" customHeight="1">
      <c r="A706" s="55"/>
      <c r="B706" s="55"/>
      <c r="C706" s="55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2.75" customHeight="1">
      <c r="A707" s="55"/>
      <c r="B707" s="55"/>
      <c r="C707" s="55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2.75" customHeight="1">
      <c r="A708" s="55"/>
      <c r="B708" s="55"/>
      <c r="C708" s="55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2.75" customHeight="1">
      <c r="A709" s="55"/>
      <c r="B709" s="55"/>
      <c r="C709" s="55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2.75" customHeight="1">
      <c r="A710" s="55"/>
      <c r="B710" s="55"/>
      <c r="C710" s="55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2.75" customHeight="1">
      <c r="A711" s="55"/>
      <c r="B711" s="55"/>
      <c r="C711" s="55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2.75" customHeight="1">
      <c r="A712" s="55"/>
      <c r="B712" s="55"/>
      <c r="C712" s="55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2.75" customHeight="1">
      <c r="A713" s="55"/>
      <c r="B713" s="55"/>
      <c r="C713" s="55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2.75" customHeight="1">
      <c r="A714" s="55"/>
      <c r="B714" s="55"/>
      <c r="C714" s="55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2.75" customHeight="1">
      <c r="A715" s="55"/>
      <c r="B715" s="55"/>
      <c r="C715" s="55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2.75" customHeight="1">
      <c r="A716" s="55"/>
      <c r="B716" s="55"/>
      <c r="C716" s="55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2.75" customHeight="1">
      <c r="A717" s="55"/>
      <c r="B717" s="55"/>
      <c r="C717" s="55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2.75" customHeight="1">
      <c r="A718" s="55"/>
      <c r="B718" s="55"/>
      <c r="C718" s="55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2.75" customHeight="1">
      <c r="A719" s="55"/>
      <c r="B719" s="55"/>
      <c r="C719" s="55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2.75" customHeight="1">
      <c r="A720" s="55"/>
      <c r="B720" s="55"/>
      <c r="C720" s="55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2.75" customHeight="1">
      <c r="A721" s="55"/>
      <c r="B721" s="55"/>
      <c r="C721" s="55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2.75" customHeight="1">
      <c r="A722" s="55"/>
      <c r="B722" s="55"/>
      <c r="C722" s="55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2.75" customHeight="1">
      <c r="A723" s="55"/>
      <c r="B723" s="55"/>
      <c r="C723" s="55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2.75" customHeight="1">
      <c r="A724" s="55"/>
      <c r="B724" s="55"/>
      <c r="C724" s="55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2.75" customHeight="1">
      <c r="A725" s="55"/>
      <c r="B725" s="55"/>
      <c r="C725" s="55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2.75" customHeight="1">
      <c r="A726" s="55"/>
      <c r="B726" s="55"/>
      <c r="C726" s="55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2.75" customHeight="1">
      <c r="A727" s="55"/>
      <c r="B727" s="55"/>
      <c r="C727" s="55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2.75" customHeight="1">
      <c r="A728" s="55"/>
      <c r="B728" s="55"/>
      <c r="C728" s="55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2.75" customHeight="1">
      <c r="A729" s="55"/>
      <c r="B729" s="55"/>
      <c r="C729" s="55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2.75" customHeight="1">
      <c r="A730" s="55"/>
      <c r="B730" s="55"/>
      <c r="C730" s="55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2.75" customHeight="1">
      <c r="A731" s="55"/>
      <c r="B731" s="55"/>
      <c r="C731" s="55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2.75" customHeight="1">
      <c r="A732" s="55"/>
      <c r="B732" s="55"/>
      <c r="C732" s="55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2.75" customHeight="1">
      <c r="A733" s="55"/>
      <c r="B733" s="55"/>
      <c r="C733" s="55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2.75" customHeight="1">
      <c r="A734" s="55"/>
      <c r="B734" s="55"/>
      <c r="C734" s="55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2.75" customHeight="1">
      <c r="A735" s="55"/>
      <c r="B735" s="55"/>
      <c r="C735" s="55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2.75" customHeight="1">
      <c r="A736" s="55"/>
      <c r="B736" s="55"/>
      <c r="C736" s="55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2.75" customHeight="1">
      <c r="A737" s="55"/>
      <c r="B737" s="55"/>
      <c r="C737" s="55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2.75" customHeight="1">
      <c r="A738" s="55"/>
      <c r="B738" s="55"/>
      <c r="C738" s="55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2.75" customHeight="1">
      <c r="A739" s="55"/>
      <c r="B739" s="55"/>
      <c r="C739" s="55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2.75" customHeight="1">
      <c r="A740" s="55"/>
      <c r="B740" s="55"/>
      <c r="C740" s="55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2.75" customHeight="1">
      <c r="A741" s="55"/>
      <c r="B741" s="55"/>
      <c r="C741" s="55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2.75" customHeight="1">
      <c r="A742" s="55"/>
      <c r="B742" s="55"/>
      <c r="C742" s="55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2.75" customHeight="1">
      <c r="A743" s="55"/>
      <c r="B743" s="55"/>
      <c r="C743" s="55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2.75" customHeight="1">
      <c r="A744" s="55"/>
      <c r="B744" s="55"/>
      <c r="C744" s="55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2.75" customHeight="1">
      <c r="A745" s="55"/>
      <c r="B745" s="55"/>
      <c r="C745" s="55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2.75" customHeight="1">
      <c r="A746" s="55"/>
      <c r="B746" s="55"/>
      <c r="C746" s="55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2.75" customHeight="1">
      <c r="A747" s="55"/>
      <c r="B747" s="55"/>
      <c r="C747" s="55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2.75" customHeight="1">
      <c r="A748" s="55"/>
      <c r="B748" s="55"/>
      <c r="C748" s="55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2.75" customHeight="1">
      <c r="A749" s="55"/>
      <c r="B749" s="55"/>
      <c r="C749" s="55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2.75" customHeight="1">
      <c r="A750" s="55"/>
      <c r="B750" s="55"/>
      <c r="C750" s="55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2.75" customHeight="1">
      <c r="A751" s="55"/>
      <c r="B751" s="55"/>
      <c r="C751" s="55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2.75" customHeight="1">
      <c r="A752" s="55"/>
      <c r="B752" s="55"/>
      <c r="C752" s="55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2.75" customHeight="1">
      <c r="A753" s="55"/>
      <c r="B753" s="55"/>
      <c r="C753" s="55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2.75" customHeight="1">
      <c r="A754" s="55"/>
      <c r="B754" s="55"/>
      <c r="C754" s="55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2.75" customHeight="1">
      <c r="A755" s="55"/>
      <c r="B755" s="55"/>
      <c r="C755" s="55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2.75" customHeight="1">
      <c r="A756" s="55"/>
      <c r="B756" s="55"/>
      <c r="C756" s="55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2.75" customHeight="1">
      <c r="A757" s="55"/>
      <c r="B757" s="55"/>
      <c r="C757" s="55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2.75" customHeight="1">
      <c r="A758" s="55"/>
      <c r="B758" s="55"/>
      <c r="C758" s="55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2.75" customHeight="1">
      <c r="A759" s="55"/>
      <c r="B759" s="55"/>
      <c r="C759" s="55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2.75" customHeight="1">
      <c r="A760" s="55"/>
      <c r="B760" s="55"/>
      <c r="C760" s="55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2.75" customHeight="1">
      <c r="A761" s="55"/>
      <c r="B761" s="55"/>
      <c r="C761" s="55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2.75" customHeight="1">
      <c r="A762" s="55"/>
      <c r="B762" s="55"/>
      <c r="C762" s="55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2.75" customHeight="1">
      <c r="A763" s="55"/>
      <c r="B763" s="55"/>
      <c r="C763" s="55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2.75" customHeight="1">
      <c r="A764" s="55"/>
      <c r="B764" s="55"/>
      <c r="C764" s="55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2.75" customHeight="1">
      <c r="A765" s="55"/>
      <c r="B765" s="55"/>
      <c r="C765" s="55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2.75" customHeight="1">
      <c r="A766" s="55"/>
      <c r="B766" s="55"/>
      <c r="C766" s="55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2.75" customHeight="1">
      <c r="A767" s="55"/>
      <c r="B767" s="55"/>
      <c r="C767" s="55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2.75" customHeight="1">
      <c r="A768" s="55"/>
      <c r="B768" s="55"/>
      <c r="C768" s="55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2.75" customHeight="1">
      <c r="A769" s="55"/>
      <c r="B769" s="55"/>
      <c r="C769" s="55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2.75" customHeight="1">
      <c r="A770" s="55"/>
      <c r="B770" s="55"/>
      <c r="C770" s="55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2.75" customHeight="1">
      <c r="A771" s="55"/>
      <c r="B771" s="55"/>
      <c r="C771" s="55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2.75" customHeight="1">
      <c r="A772" s="55"/>
      <c r="B772" s="55"/>
      <c r="C772" s="55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2.75" customHeight="1">
      <c r="A773" s="55"/>
      <c r="B773" s="55"/>
      <c r="C773" s="55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2.75" customHeight="1">
      <c r="A774" s="55"/>
      <c r="B774" s="55"/>
      <c r="C774" s="55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2.75" customHeight="1">
      <c r="A775" s="55"/>
      <c r="B775" s="55"/>
      <c r="C775" s="55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2.75" customHeight="1">
      <c r="A776" s="55"/>
      <c r="B776" s="55"/>
      <c r="C776" s="55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2.75" customHeight="1">
      <c r="A777" s="55"/>
      <c r="B777" s="55"/>
      <c r="C777" s="55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2.75" customHeight="1">
      <c r="A778" s="55"/>
      <c r="B778" s="55"/>
      <c r="C778" s="55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2.75" customHeight="1">
      <c r="A779" s="55"/>
      <c r="B779" s="55"/>
      <c r="C779" s="55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2.75" customHeight="1">
      <c r="A780" s="55"/>
      <c r="B780" s="55"/>
      <c r="C780" s="55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2.75" customHeight="1">
      <c r="A781" s="55"/>
      <c r="B781" s="55"/>
      <c r="C781" s="55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2.75" customHeight="1">
      <c r="A782" s="55"/>
      <c r="B782" s="55"/>
      <c r="C782" s="55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2.75" customHeight="1">
      <c r="A783" s="55"/>
      <c r="B783" s="55"/>
      <c r="C783" s="55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2.75" customHeight="1">
      <c r="A784" s="55"/>
      <c r="B784" s="55"/>
      <c r="C784" s="55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2.75" customHeight="1">
      <c r="A785" s="55"/>
      <c r="B785" s="55"/>
      <c r="C785" s="55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2.75" customHeight="1">
      <c r="A786" s="55"/>
      <c r="B786" s="55"/>
      <c r="C786" s="55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2.75" customHeight="1">
      <c r="A787" s="55"/>
      <c r="B787" s="55"/>
      <c r="C787" s="55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2.75" customHeight="1">
      <c r="A788" s="55"/>
      <c r="B788" s="55"/>
      <c r="C788" s="55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2.75" customHeight="1">
      <c r="A789" s="55"/>
      <c r="B789" s="55"/>
      <c r="C789" s="55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2.75" customHeight="1">
      <c r="A790" s="55"/>
      <c r="B790" s="55"/>
      <c r="C790" s="55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2.75" customHeight="1">
      <c r="A791" s="55"/>
      <c r="B791" s="55"/>
      <c r="C791" s="55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2.75" customHeight="1">
      <c r="A792" s="55"/>
      <c r="B792" s="55"/>
      <c r="C792" s="55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2.75" customHeight="1">
      <c r="A793" s="55"/>
      <c r="B793" s="55"/>
      <c r="C793" s="55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2.75" customHeight="1">
      <c r="A794" s="55"/>
      <c r="B794" s="55"/>
      <c r="C794" s="55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2.75" customHeight="1">
      <c r="A795" s="55"/>
      <c r="B795" s="55"/>
      <c r="C795" s="55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2.75" customHeight="1">
      <c r="A796" s="55"/>
      <c r="B796" s="55"/>
      <c r="C796" s="55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2.75" customHeight="1">
      <c r="A797" s="55"/>
      <c r="B797" s="55"/>
      <c r="C797" s="55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2.75" customHeight="1">
      <c r="A798" s="55"/>
      <c r="B798" s="55"/>
      <c r="C798" s="55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2.75" customHeight="1">
      <c r="A799" s="55"/>
      <c r="B799" s="55"/>
      <c r="C799" s="55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2.75" customHeight="1">
      <c r="A800" s="55"/>
      <c r="B800" s="55"/>
      <c r="C800" s="55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2.75" customHeight="1">
      <c r="A801" s="55"/>
      <c r="B801" s="55"/>
      <c r="C801" s="55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2.75" customHeight="1">
      <c r="A802" s="55"/>
      <c r="B802" s="55"/>
      <c r="C802" s="55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2.75" customHeight="1">
      <c r="A803" s="55"/>
      <c r="B803" s="55"/>
      <c r="C803" s="55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2.75" customHeight="1">
      <c r="A804" s="55"/>
      <c r="B804" s="55"/>
      <c r="C804" s="55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2.75" customHeight="1">
      <c r="A805" s="55"/>
      <c r="B805" s="55"/>
      <c r="C805" s="55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2.75" customHeight="1">
      <c r="A806" s="55"/>
      <c r="B806" s="55"/>
      <c r="C806" s="55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2.75" customHeight="1">
      <c r="A807" s="55"/>
      <c r="B807" s="55"/>
      <c r="C807" s="55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2.75" customHeight="1">
      <c r="A808" s="55"/>
      <c r="B808" s="55"/>
      <c r="C808" s="55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2.75" customHeight="1">
      <c r="A809" s="55"/>
      <c r="B809" s="55"/>
      <c r="C809" s="55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2.75" customHeight="1">
      <c r="A810" s="55"/>
      <c r="B810" s="55"/>
      <c r="C810" s="55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2.75" customHeight="1">
      <c r="A811" s="55"/>
      <c r="B811" s="55"/>
      <c r="C811" s="55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2.75" customHeight="1">
      <c r="A812" s="55"/>
      <c r="B812" s="55"/>
      <c r="C812" s="55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2.75" customHeight="1">
      <c r="A813" s="55"/>
      <c r="B813" s="55"/>
      <c r="C813" s="55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2.75" customHeight="1">
      <c r="A814" s="55"/>
      <c r="B814" s="55"/>
      <c r="C814" s="55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2.75" customHeight="1">
      <c r="A815" s="55"/>
      <c r="B815" s="55"/>
      <c r="C815" s="55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2.75" customHeight="1">
      <c r="A816" s="55"/>
      <c r="B816" s="55"/>
      <c r="C816" s="55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2.75" customHeight="1">
      <c r="A817" s="55"/>
      <c r="B817" s="55"/>
      <c r="C817" s="55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2.75" customHeight="1">
      <c r="A818" s="55"/>
      <c r="B818" s="55"/>
      <c r="C818" s="55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2.75" customHeight="1">
      <c r="A819" s="55"/>
      <c r="B819" s="55"/>
      <c r="C819" s="55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2.75" customHeight="1">
      <c r="A820" s="55"/>
      <c r="B820" s="55"/>
      <c r="C820" s="55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2.75" customHeight="1">
      <c r="A821" s="55"/>
      <c r="B821" s="55"/>
      <c r="C821" s="55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2.75" customHeight="1">
      <c r="A822" s="55"/>
      <c r="B822" s="55"/>
      <c r="C822" s="55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2.75" customHeight="1">
      <c r="A823" s="55"/>
      <c r="B823" s="55"/>
      <c r="C823" s="55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2.75" customHeight="1">
      <c r="A824" s="55"/>
      <c r="B824" s="55"/>
      <c r="C824" s="55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2.75" customHeight="1">
      <c r="A825" s="55"/>
      <c r="B825" s="55"/>
      <c r="C825" s="55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2.75" customHeight="1">
      <c r="A826" s="55"/>
      <c r="B826" s="55"/>
      <c r="C826" s="55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2.75" customHeight="1">
      <c r="A827" s="55"/>
      <c r="B827" s="55"/>
      <c r="C827" s="55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2.75" customHeight="1">
      <c r="A828" s="55"/>
      <c r="B828" s="55"/>
      <c r="C828" s="55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2.75" customHeight="1">
      <c r="A829" s="55"/>
      <c r="B829" s="55"/>
      <c r="C829" s="55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2.75" customHeight="1">
      <c r="A830" s="55"/>
      <c r="B830" s="55"/>
      <c r="C830" s="55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2.75" customHeight="1">
      <c r="A831" s="55"/>
      <c r="B831" s="55"/>
      <c r="C831" s="55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2.75" customHeight="1">
      <c r="A832" s="55"/>
      <c r="B832" s="55"/>
      <c r="C832" s="55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2.75" customHeight="1">
      <c r="A833" s="55"/>
      <c r="B833" s="55"/>
      <c r="C833" s="55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2.75" customHeight="1">
      <c r="A834" s="55"/>
      <c r="B834" s="55"/>
      <c r="C834" s="55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2.75" customHeight="1">
      <c r="A835" s="55"/>
      <c r="B835" s="55"/>
      <c r="C835" s="55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2.75" customHeight="1">
      <c r="A836" s="55"/>
      <c r="B836" s="55"/>
      <c r="C836" s="55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2.75" customHeight="1">
      <c r="A837" s="55"/>
      <c r="B837" s="55"/>
      <c r="C837" s="55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2.75" customHeight="1">
      <c r="A838" s="55"/>
      <c r="B838" s="55"/>
      <c r="C838" s="55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2.75" customHeight="1">
      <c r="A839" s="55"/>
      <c r="B839" s="55"/>
      <c r="C839" s="55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2.75" customHeight="1">
      <c r="A840" s="55"/>
      <c r="B840" s="55"/>
      <c r="C840" s="55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2.75" customHeight="1">
      <c r="A841" s="55"/>
      <c r="B841" s="55"/>
      <c r="C841" s="55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2.75" customHeight="1">
      <c r="A842" s="55"/>
      <c r="B842" s="55"/>
      <c r="C842" s="55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2.75" customHeight="1">
      <c r="A843" s="55"/>
      <c r="B843" s="55"/>
      <c r="C843" s="55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2.75" customHeight="1">
      <c r="A844" s="55"/>
      <c r="B844" s="55"/>
      <c r="C844" s="55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2.75" customHeight="1">
      <c r="A845" s="55"/>
      <c r="B845" s="55"/>
      <c r="C845" s="55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2.75" customHeight="1">
      <c r="A846" s="55"/>
      <c r="B846" s="55"/>
      <c r="C846" s="55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2.75" customHeight="1">
      <c r="A847" s="55"/>
      <c r="B847" s="55"/>
      <c r="C847" s="55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2.75" customHeight="1">
      <c r="A848" s="55"/>
      <c r="B848" s="55"/>
      <c r="C848" s="55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2.75" customHeight="1">
      <c r="A849" s="55"/>
      <c r="B849" s="55"/>
      <c r="C849" s="55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2.75" customHeight="1">
      <c r="A850" s="55"/>
      <c r="B850" s="55"/>
      <c r="C850" s="55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2.75" customHeight="1">
      <c r="A851" s="55"/>
      <c r="B851" s="55"/>
      <c r="C851" s="55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2.75" customHeight="1">
      <c r="A852" s="55"/>
      <c r="B852" s="55"/>
      <c r="C852" s="55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2.75" customHeight="1">
      <c r="A853" s="55"/>
      <c r="B853" s="55"/>
      <c r="C853" s="55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2.75" customHeight="1">
      <c r="A854" s="55"/>
      <c r="B854" s="55"/>
      <c r="C854" s="55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2.75" customHeight="1">
      <c r="A855" s="55"/>
      <c r="B855" s="55"/>
      <c r="C855" s="55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2.75" customHeight="1">
      <c r="A856" s="55"/>
      <c r="B856" s="55"/>
      <c r="C856" s="55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2.75" customHeight="1">
      <c r="A857" s="55"/>
      <c r="B857" s="55"/>
      <c r="C857" s="55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2.75" customHeight="1">
      <c r="A858" s="55"/>
      <c r="B858" s="55"/>
      <c r="C858" s="55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2.75" customHeight="1">
      <c r="A859" s="55"/>
      <c r="B859" s="55"/>
      <c r="C859" s="55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2.75" customHeight="1">
      <c r="A860" s="55"/>
      <c r="B860" s="55"/>
      <c r="C860" s="55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2.75" customHeight="1">
      <c r="A861" s="55"/>
      <c r="B861" s="55"/>
      <c r="C861" s="55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2.75" customHeight="1">
      <c r="A862" s="55"/>
      <c r="B862" s="55"/>
      <c r="C862" s="55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2.75" customHeight="1">
      <c r="A863" s="55"/>
      <c r="B863" s="55"/>
      <c r="C863" s="55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2.75" customHeight="1">
      <c r="A864" s="55"/>
      <c r="B864" s="55"/>
      <c r="C864" s="55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2.75" customHeight="1">
      <c r="A865" s="55"/>
      <c r="B865" s="55"/>
      <c r="C865" s="55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2.75" customHeight="1">
      <c r="A866" s="55"/>
      <c r="B866" s="55"/>
      <c r="C866" s="55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2.75" customHeight="1">
      <c r="A867" s="55"/>
      <c r="B867" s="55"/>
      <c r="C867" s="55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2.75" customHeight="1">
      <c r="A868" s="55"/>
      <c r="B868" s="55"/>
      <c r="C868" s="55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2.75" customHeight="1">
      <c r="A869" s="55"/>
      <c r="B869" s="55"/>
      <c r="C869" s="55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2.75" customHeight="1">
      <c r="A870" s="55"/>
      <c r="B870" s="55"/>
      <c r="C870" s="55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2.75" customHeight="1">
      <c r="A871" s="55"/>
      <c r="B871" s="55"/>
      <c r="C871" s="55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2.75" customHeight="1">
      <c r="A872" s="55"/>
      <c r="B872" s="55"/>
      <c r="C872" s="55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2.75" customHeight="1">
      <c r="A873" s="55"/>
      <c r="B873" s="55"/>
      <c r="C873" s="55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2.75" customHeight="1">
      <c r="A874" s="55"/>
      <c r="B874" s="55"/>
      <c r="C874" s="55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2.75" customHeight="1">
      <c r="A875" s="55"/>
      <c r="B875" s="55"/>
      <c r="C875" s="55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2.75" customHeight="1">
      <c r="A876" s="55"/>
      <c r="B876" s="55"/>
      <c r="C876" s="55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2.75" customHeight="1">
      <c r="A877" s="55"/>
      <c r="B877" s="55"/>
      <c r="C877" s="55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2.75" customHeight="1">
      <c r="A878" s="55"/>
      <c r="B878" s="55"/>
      <c r="C878" s="55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2.75" customHeight="1">
      <c r="A879" s="55"/>
      <c r="B879" s="55"/>
      <c r="C879" s="55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2.75" customHeight="1">
      <c r="A880" s="55"/>
      <c r="B880" s="55"/>
      <c r="C880" s="55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2.75" customHeight="1">
      <c r="A881" s="55"/>
      <c r="B881" s="55"/>
      <c r="C881" s="55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2.75" customHeight="1">
      <c r="A882" s="55"/>
      <c r="B882" s="55"/>
      <c r="C882" s="55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2.75" customHeight="1">
      <c r="A883" s="55"/>
      <c r="B883" s="55"/>
      <c r="C883" s="55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2.75" customHeight="1">
      <c r="A884" s="55"/>
      <c r="B884" s="55"/>
      <c r="C884" s="55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2.75" customHeight="1">
      <c r="A885" s="55"/>
      <c r="B885" s="55"/>
      <c r="C885" s="55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2.75" customHeight="1">
      <c r="A886" s="55"/>
      <c r="B886" s="55"/>
      <c r="C886" s="55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2.75" customHeight="1">
      <c r="A887" s="55"/>
      <c r="B887" s="55"/>
      <c r="C887" s="55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2.75" customHeight="1">
      <c r="A888" s="55"/>
      <c r="B888" s="55"/>
      <c r="C888" s="55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2.75" customHeight="1">
      <c r="A889" s="55"/>
      <c r="B889" s="55"/>
      <c r="C889" s="55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2.75" customHeight="1">
      <c r="A890" s="55"/>
      <c r="B890" s="55"/>
      <c r="C890" s="55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2.75" customHeight="1">
      <c r="A891" s="55"/>
      <c r="B891" s="55"/>
      <c r="C891" s="55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2.75" customHeight="1">
      <c r="A892" s="55"/>
      <c r="B892" s="55"/>
      <c r="C892" s="55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2.75" customHeight="1">
      <c r="A893" s="55"/>
      <c r="B893" s="55"/>
      <c r="C893" s="55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2.75" customHeight="1">
      <c r="A894" s="55"/>
      <c r="B894" s="55"/>
      <c r="C894" s="55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2.75" customHeight="1">
      <c r="A895" s="55"/>
      <c r="B895" s="55"/>
      <c r="C895" s="55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2.75" customHeight="1">
      <c r="A896" s="55"/>
      <c r="B896" s="55"/>
      <c r="C896" s="55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2.75" customHeight="1">
      <c r="A897" s="55"/>
      <c r="B897" s="55"/>
      <c r="C897" s="55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2.75" customHeight="1">
      <c r="A898" s="55"/>
      <c r="B898" s="55"/>
      <c r="C898" s="55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2.75" customHeight="1">
      <c r="A899" s="55"/>
      <c r="B899" s="55"/>
      <c r="C899" s="55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2.75" customHeight="1">
      <c r="A900" s="55"/>
      <c r="B900" s="55"/>
      <c r="C900" s="55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2.75" customHeight="1">
      <c r="A901" s="55"/>
      <c r="B901" s="55"/>
      <c r="C901" s="55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2.75" customHeight="1">
      <c r="A902" s="55"/>
      <c r="B902" s="55"/>
      <c r="C902" s="55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2.75" customHeight="1">
      <c r="A903" s="55"/>
      <c r="B903" s="55"/>
      <c r="C903" s="55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2.75" customHeight="1">
      <c r="A904" s="55"/>
      <c r="B904" s="55"/>
      <c r="C904" s="55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2.75" customHeight="1">
      <c r="A905" s="55"/>
      <c r="B905" s="55"/>
      <c r="C905" s="55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2.75" customHeight="1">
      <c r="A906" s="55"/>
      <c r="B906" s="55"/>
      <c r="C906" s="55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2.75" customHeight="1">
      <c r="A907" s="55"/>
      <c r="B907" s="55"/>
      <c r="C907" s="55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2.75" customHeight="1">
      <c r="A908" s="55"/>
      <c r="B908" s="55"/>
      <c r="C908" s="55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2.75" customHeight="1">
      <c r="A909" s="55"/>
      <c r="B909" s="55"/>
      <c r="C909" s="55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2.75" customHeight="1">
      <c r="A910" s="55"/>
      <c r="B910" s="55"/>
      <c r="C910" s="55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2.75" customHeight="1">
      <c r="A911" s="55"/>
      <c r="B911" s="55"/>
      <c r="C911" s="55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2.75" customHeight="1">
      <c r="A912" s="55"/>
      <c r="B912" s="55"/>
      <c r="C912" s="55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2.75" customHeight="1">
      <c r="A913" s="55"/>
      <c r="B913" s="55"/>
      <c r="C913" s="55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2.75" customHeight="1">
      <c r="A914" s="55"/>
      <c r="B914" s="55"/>
      <c r="C914" s="55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2.75" customHeight="1">
      <c r="A915" s="55"/>
      <c r="B915" s="55"/>
      <c r="C915" s="55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2.75" customHeight="1">
      <c r="A916" s="55"/>
      <c r="B916" s="55"/>
      <c r="C916" s="55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2.75" customHeight="1">
      <c r="A917" s="55"/>
      <c r="B917" s="55"/>
      <c r="C917" s="55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2.75" customHeight="1">
      <c r="A918" s="55"/>
      <c r="B918" s="55"/>
      <c r="C918" s="55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2.75" customHeight="1">
      <c r="A919" s="55"/>
      <c r="B919" s="55"/>
      <c r="C919" s="55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2.75" customHeight="1">
      <c r="A920" s="55"/>
      <c r="B920" s="55"/>
      <c r="C920" s="55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2.75" customHeight="1">
      <c r="A921" s="55"/>
      <c r="B921" s="55"/>
      <c r="C921" s="55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2.75" customHeight="1">
      <c r="A922" s="55"/>
      <c r="B922" s="55"/>
      <c r="C922" s="55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2.75" customHeight="1">
      <c r="A923" s="55"/>
      <c r="B923" s="55"/>
      <c r="C923" s="55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2.75" customHeight="1">
      <c r="A924" s="55"/>
      <c r="B924" s="55"/>
      <c r="C924" s="55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2.75" customHeight="1">
      <c r="A925" s="55"/>
      <c r="B925" s="55"/>
      <c r="C925" s="55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2.75" customHeight="1">
      <c r="A926" s="55"/>
      <c r="B926" s="55"/>
      <c r="C926" s="55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2.75" customHeight="1">
      <c r="A927" s="55"/>
      <c r="B927" s="55"/>
      <c r="C927" s="55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2.75" customHeight="1">
      <c r="A928" s="55"/>
      <c r="B928" s="55"/>
      <c r="C928" s="55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2.75" customHeight="1">
      <c r="A929" s="55"/>
      <c r="B929" s="55"/>
      <c r="C929" s="55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2.75" customHeight="1">
      <c r="A930" s="55"/>
      <c r="B930" s="55"/>
      <c r="C930" s="55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2.75" customHeight="1">
      <c r="A931" s="55"/>
      <c r="B931" s="55"/>
      <c r="C931" s="55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2.75" customHeight="1">
      <c r="A932" s="55"/>
      <c r="B932" s="55"/>
      <c r="C932" s="55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2.75" customHeight="1">
      <c r="A933" s="55"/>
      <c r="B933" s="55"/>
      <c r="C933" s="55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2.75" customHeight="1">
      <c r="A934" s="55"/>
      <c r="B934" s="55"/>
      <c r="C934" s="55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2.75" customHeight="1">
      <c r="A935" s="55"/>
      <c r="B935" s="55"/>
      <c r="C935" s="55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2.75" customHeight="1">
      <c r="A936" s="55"/>
      <c r="B936" s="55"/>
      <c r="C936" s="55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2.75" customHeight="1">
      <c r="A937" s="55"/>
      <c r="B937" s="55"/>
      <c r="C937" s="55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2.75" customHeight="1">
      <c r="A938" s="55"/>
      <c r="B938" s="55"/>
      <c r="C938" s="55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2.75" customHeight="1">
      <c r="A939" s="55"/>
      <c r="B939" s="55"/>
      <c r="C939" s="55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2.75" customHeight="1">
      <c r="A940" s="55"/>
      <c r="B940" s="55"/>
      <c r="C940" s="55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2.75" customHeight="1">
      <c r="A941" s="55"/>
      <c r="B941" s="55"/>
      <c r="C941" s="55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2.75" customHeight="1">
      <c r="A942" s="55"/>
      <c r="B942" s="55"/>
      <c r="C942" s="55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2.75" customHeight="1">
      <c r="A943" s="55"/>
      <c r="B943" s="55"/>
      <c r="C943" s="55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2.75" customHeight="1">
      <c r="A944" s="55"/>
      <c r="B944" s="55"/>
      <c r="C944" s="55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2.75" customHeight="1">
      <c r="A945" s="55"/>
      <c r="B945" s="55"/>
      <c r="C945" s="55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2.75" customHeight="1">
      <c r="A946" s="55"/>
      <c r="B946" s="55"/>
      <c r="C946" s="55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2.75" customHeight="1">
      <c r="A947" s="55"/>
      <c r="B947" s="55"/>
      <c r="C947" s="55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2.75" customHeight="1">
      <c r="A948" s="55"/>
      <c r="B948" s="55"/>
      <c r="C948" s="55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2.75" customHeight="1">
      <c r="A949" s="55"/>
      <c r="B949" s="55"/>
      <c r="C949" s="55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2.75" customHeight="1">
      <c r="A950" s="55"/>
      <c r="B950" s="55"/>
      <c r="C950" s="55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2.75" customHeight="1">
      <c r="A951" s="55"/>
      <c r="B951" s="55"/>
      <c r="C951" s="55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2.75" customHeight="1">
      <c r="A952" s="55"/>
      <c r="B952" s="55"/>
      <c r="C952" s="55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2.75" customHeight="1">
      <c r="A953" s="55"/>
      <c r="B953" s="55"/>
      <c r="C953" s="55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2.75" customHeight="1">
      <c r="A954" s="55"/>
      <c r="B954" s="55"/>
      <c r="C954" s="55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2.75" customHeight="1">
      <c r="A955" s="55"/>
      <c r="B955" s="55"/>
      <c r="C955" s="55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2.75" customHeight="1">
      <c r="A956" s="55"/>
      <c r="B956" s="55"/>
      <c r="C956" s="55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2.75" customHeight="1">
      <c r="A957" s="55"/>
      <c r="B957" s="55"/>
      <c r="C957" s="55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2.75" customHeight="1">
      <c r="A958" s="55"/>
      <c r="B958" s="55"/>
      <c r="C958" s="55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2.75" customHeight="1">
      <c r="A959" s="55"/>
      <c r="B959" s="55"/>
      <c r="C959" s="55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2.75" customHeight="1">
      <c r="A960" s="55"/>
      <c r="B960" s="55"/>
      <c r="C960" s="55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2.75" customHeight="1">
      <c r="A961" s="55"/>
      <c r="B961" s="55"/>
      <c r="C961" s="55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2.75" customHeight="1">
      <c r="A962" s="55"/>
      <c r="B962" s="55"/>
      <c r="C962" s="55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2.75" customHeight="1">
      <c r="A963" s="55"/>
      <c r="B963" s="55"/>
      <c r="C963" s="55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2.75" customHeight="1">
      <c r="A964" s="55"/>
      <c r="B964" s="55"/>
      <c r="C964" s="55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2.75" customHeight="1">
      <c r="A965" s="55"/>
      <c r="B965" s="55"/>
      <c r="C965" s="55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2.75" customHeight="1">
      <c r="A966" s="55"/>
      <c r="B966" s="55"/>
      <c r="C966" s="55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2.75" customHeight="1">
      <c r="A967" s="55"/>
      <c r="B967" s="55"/>
      <c r="C967" s="55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2.75" customHeight="1">
      <c r="A968" s="55"/>
      <c r="B968" s="55"/>
      <c r="C968" s="55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2.75" customHeight="1">
      <c r="A969" s="55"/>
      <c r="B969" s="55"/>
      <c r="C969" s="55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2.75" customHeight="1">
      <c r="A970" s="55"/>
      <c r="B970" s="55"/>
      <c r="C970" s="55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2.75" customHeight="1">
      <c r="A971" s="55"/>
      <c r="B971" s="55"/>
      <c r="C971" s="55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2.75" customHeight="1">
      <c r="A972" s="55"/>
      <c r="B972" s="55"/>
      <c r="C972" s="55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2.75" customHeight="1">
      <c r="A973" s="55"/>
      <c r="B973" s="55"/>
      <c r="C973" s="55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2.75" customHeight="1">
      <c r="A974" s="55"/>
      <c r="B974" s="55"/>
      <c r="C974" s="55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2.75" customHeight="1">
      <c r="A975" s="55"/>
      <c r="B975" s="55"/>
      <c r="C975" s="55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2.75" customHeight="1">
      <c r="A976" s="55"/>
      <c r="B976" s="55"/>
      <c r="C976" s="55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2.75" customHeight="1">
      <c r="A977" s="55"/>
      <c r="B977" s="55"/>
      <c r="C977" s="55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2.75" customHeight="1">
      <c r="A978" s="55"/>
      <c r="B978" s="55"/>
      <c r="C978" s="55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2.75" customHeight="1">
      <c r="A979" s="55"/>
      <c r="B979" s="55"/>
      <c r="C979" s="55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2.75" customHeight="1">
      <c r="A980" s="55"/>
      <c r="B980" s="55"/>
      <c r="C980" s="55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2.75" customHeight="1">
      <c r="A981" s="55"/>
      <c r="B981" s="55"/>
      <c r="C981" s="55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2.75" customHeight="1">
      <c r="A982" s="55"/>
      <c r="B982" s="55"/>
      <c r="C982" s="55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2.75" customHeight="1">
      <c r="A983" s="55"/>
      <c r="B983" s="55"/>
      <c r="C983" s="55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2.75" customHeight="1">
      <c r="A984" s="55"/>
      <c r="B984" s="55"/>
      <c r="C984" s="55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2.75" customHeight="1">
      <c r="A985" s="55"/>
      <c r="B985" s="55"/>
      <c r="C985" s="55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2.75" customHeight="1">
      <c r="A986" s="55"/>
      <c r="B986" s="55"/>
      <c r="C986" s="55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2.75" customHeight="1">
      <c r="A987" s="55"/>
      <c r="B987" s="55"/>
      <c r="C987" s="55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2.75" customHeight="1">
      <c r="A988" s="55"/>
      <c r="B988" s="55"/>
      <c r="C988" s="55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2.75" customHeight="1">
      <c r="A989" s="55"/>
      <c r="B989" s="55"/>
      <c r="C989" s="55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2.75" customHeight="1">
      <c r="A990" s="55"/>
      <c r="B990" s="55"/>
      <c r="C990" s="55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2.75" customHeight="1">
      <c r="A991" s="55"/>
      <c r="B991" s="55"/>
      <c r="C991" s="55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2.75" customHeight="1">
      <c r="A992" s="55"/>
      <c r="B992" s="55"/>
      <c r="C992" s="55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2.75" customHeight="1">
      <c r="A993" s="55"/>
      <c r="B993" s="55"/>
      <c r="C993" s="55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2.75" customHeight="1">
      <c r="A994" s="55"/>
      <c r="B994" s="55"/>
      <c r="C994" s="55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2.75" customHeight="1">
      <c r="A995" s="55"/>
      <c r="B995" s="55"/>
      <c r="C995" s="55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2.75" customHeight="1">
      <c r="A996" s="55"/>
      <c r="B996" s="55"/>
      <c r="C996" s="55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2.75" customHeight="1">
      <c r="A997" s="55"/>
      <c r="B997" s="55"/>
      <c r="C997" s="55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2.75" customHeight="1">
      <c r="A998" s="55"/>
      <c r="B998" s="55"/>
      <c r="C998" s="55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2.75" customHeight="1">
      <c r="A999" s="55"/>
      <c r="B999" s="55"/>
      <c r="C999" s="55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2.75" customHeight="1">
      <c r="A1000" s="55"/>
      <c r="B1000" s="55"/>
      <c r="C1000" s="55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dataValidations count="1">
    <dataValidation type="list" allowBlank="1" showErrorMessage="1" sqref="C5" xr:uid="{00000000-0002-0000-0100-000000000000}">
      <formula1>"Appreciation,Cap Rate"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showGridLines="0" workbookViewId="0">
      <selection activeCell="H10" sqref="H10"/>
    </sheetView>
  </sheetViews>
  <sheetFormatPr baseColWidth="10" defaultColWidth="11.1640625" defaultRowHeight="15" customHeight="1"/>
  <cols>
    <col min="1" max="1" width="8.83203125" customWidth="1"/>
    <col min="2" max="2" width="3.1640625" customWidth="1"/>
    <col min="3" max="8" width="15" customWidth="1"/>
    <col min="9" max="9" width="8.83203125" customWidth="1"/>
    <col min="10" max="10" width="18.5" customWidth="1"/>
    <col min="11" max="11" width="6.83203125" customWidth="1"/>
    <col min="12" max="26" width="8.83203125" customWidth="1"/>
  </cols>
  <sheetData>
    <row r="1" spans="1:14" ht="16"/>
    <row r="2" spans="1:14" ht="16">
      <c r="A2" s="84"/>
      <c r="B2" s="172" t="s">
        <v>89</v>
      </c>
      <c r="C2" s="159"/>
      <c r="D2" s="159"/>
      <c r="E2" s="159"/>
      <c r="F2" s="159"/>
      <c r="G2" s="159"/>
      <c r="H2" s="160"/>
      <c r="I2" s="84"/>
      <c r="J2" s="172" t="s">
        <v>90</v>
      </c>
      <c r="K2" s="160"/>
      <c r="L2" s="84"/>
      <c r="M2" s="84"/>
      <c r="N2" s="84"/>
    </row>
    <row r="3" spans="1:14" ht="16">
      <c r="A3" s="84"/>
      <c r="B3" s="58"/>
      <c r="C3" s="58"/>
      <c r="D3" s="58"/>
      <c r="E3" s="58"/>
      <c r="F3" s="58"/>
      <c r="G3" s="58"/>
      <c r="H3" s="58"/>
      <c r="I3" s="84"/>
      <c r="J3" s="58"/>
      <c r="K3" s="58"/>
      <c r="L3" s="84"/>
      <c r="M3" s="84"/>
      <c r="N3" s="84"/>
    </row>
    <row r="4" spans="1:14" ht="16">
      <c r="A4" s="84"/>
      <c r="B4" s="58" t="s">
        <v>91</v>
      </c>
      <c r="C4" s="58"/>
      <c r="D4" s="58"/>
      <c r="E4" s="85"/>
      <c r="F4" s="135">
        <f>+Overview!F19</f>
        <v>1972</v>
      </c>
      <c r="G4" s="86" t="s">
        <v>92</v>
      </c>
      <c r="H4" s="133">
        <v>1972</v>
      </c>
      <c r="I4" s="84"/>
      <c r="J4" s="68" t="s">
        <v>93</v>
      </c>
      <c r="K4" s="68" t="s">
        <v>94</v>
      </c>
      <c r="L4" s="84"/>
      <c r="M4" s="84"/>
      <c r="N4" s="84"/>
    </row>
    <row r="5" spans="1:14" ht="16">
      <c r="A5" s="84"/>
      <c r="B5" s="58" t="s">
        <v>95</v>
      </c>
      <c r="C5" s="58"/>
      <c r="D5" s="58"/>
      <c r="E5" s="85"/>
      <c r="F5" s="136"/>
      <c r="G5" s="85"/>
      <c r="H5" s="133">
        <v>250</v>
      </c>
      <c r="I5" s="84"/>
      <c r="J5" s="60">
        <v>1</v>
      </c>
      <c r="K5" s="87">
        <f>+IFERROR((Overview!$L$34*J5)/Overview!$E$39,0)</f>
        <v>4.5955647734524565E-3</v>
      </c>
      <c r="L5" s="85"/>
      <c r="M5" s="84"/>
      <c r="N5" s="84"/>
    </row>
    <row r="6" spans="1:14" ht="16">
      <c r="A6" s="84"/>
      <c r="B6" s="58" t="s">
        <v>96</v>
      </c>
      <c r="C6" s="58"/>
      <c r="D6" s="58"/>
      <c r="E6" s="85"/>
      <c r="F6" s="138">
        <f>+Overview!E24</f>
        <v>6500000</v>
      </c>
      <c r="G6" s="86" t="s">
        <v>92</v>
      </c>
      <c r="H6" s="134">
        <v>6500000</v>
      </c>
      <c r="I6" s="84"/>
      <c r="J6" s="60">
        <f t="shared" ref="J6:J49" si="0">1+J5</f>
        <v>2</v>
      </c>
      <c r="K6" s="87">
        <f>+IFERROR((Overview!$L$34*J6)/Overview!$E$39,0)</f>
        <v>9.191129546904913E-3</v>
      </c>
      <c r="L6" s="85"/>
      <c r="M6" s="84"/>
      <c r="N6" s="84"/>
    </row>
    <row r="7" spans="1:14" ht="16">
      <c r="A7" s="84"/>
      <c r="B7" s="58" t="s">
        <v>97</v>
      </c>
      <c r="C7" s="58"/>
      <c r="D7" s="58"/>
      <c r="E7" s="85"/>
      <c r="F7" s="137"/>
      <c r="G7" s="58"/>
      <c r="H7" s="133">
        <v>100000</v>
      </c>
      <c r="I7" s="84"/>
      <c r="J7" s="60">
        <f t="shared" si="0"/>
        <v>3</v>
      </c>
      <c r="K7" s="87">
        <f>+IFERROR((Overview!$L$34*J7)/Overview!$E$39,0)</f>
        <v>1.3786694320357371E-2</v>
      </c>
      <c r="L7" s="85"/>
      <c r="M7" s="84"/>
      <c r="N7" s="84"/>
    </row>
    <row r="8" spans="1:14" ht="15" customHeight="1">
      <c r="A8" s="84"/>
      <c r="B8" s="58" t="s">
        <v>98</v>
      </c>
      <c r="C8" s="58"/>
      <c r="D8" s="58"/>
      <c r="E8" s="85"/>
      <c r="F8" s="135">
        <f>+Overview!E26</f>
        <v>1250000</v>
      </c>
      <c r="G8" s="86" t="s">
        <v>92</v>
      </c>
      <c r="H8" s="133">
        <v>1250000</v>
      </c>
      <c r="I8" s="84"/>
      <c r="J8" s="60">
        <f t="shared" si="0"/>
        <v>4</v>
      </c>
      <c r="K8" s="87">
        <f>+IFERROR((Overview!$L$34*J8)/Overview!$E$39,0)</f>
        <v>1.8382259093809826E-2</v>
      </c>
      <c r="L8" s="85"/>
      <c r="M8" s="84"/>
      <c r="N8" s="84"/>
    </row>
    <row r="9" spans="1:14" ht="15" customHeight="1">
      <c r="A9" s="84"/>
      <c r="B9" s="58" t="s">
        <v>99</v>
      </c>
      <c r="C9" s="58"/>
      <c r="D9" s="58"/>
      <c r="E9" s="85"/>
      <c r="F9" s="85"/>
      <c r="G9" s="58"/>
      <c r="H9" s="133"/>
      <c r="I9" s="84"/>
      <c r="J9" s="60">
        <f t="shared" si="0"/>
        <v>5</v>
      </c>
      <c r="K9" s="87">
        <f>+IFERROR((Overview!$L$34*J9)/Overview!$E$39,0)</f>
        <v>2.2977823867262284E-2</v>
      </c>
      <c r="L9" s="85"/>
      <c r="M9" s="84"/>
      <c r="N9" s="84"/>
    </row>
    <row r="10" spans="1:14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60">
        <f t="shared" si="0"/>
        <v>6</v>
      </c>
      <c r="K10" s="87">
        <f>+IFERROR((Overview!$L$34*J10)/Overview!$E$39,0)</f>
        <v>2.7573388640714742E-2</v>
      </c>
      <c r="L10" s="85"/>
      <c r="M10" s="84"/>
      <c r="N10" s="84"/>
    </row>
    <row r="11" spans="1:14" ht="16">
      <c r="A11" s="84"/>
      <c r="B11" s="88"/>
      <c r="C11" s="56"/>
      <c r="D11" s="173" t="s">
        <v>100</v>
      </c>
      <c r="E11" s="157"/>
      <c r="F11" s="157"/>
      <c r="G11" s="157"/>
      <c r="H11" s="157"/>
      <c r="I11" s="84"/>
      <c r="J11" s="60">
        <f t="shared" si="0"/>
        <v>7</v>
      </c>
      <c r="K11" s="87">
        <f>+IFERROR((Overview!$L$34*J11)/Overview!$E$39,0)</f>
        <v>3.2168953414167201E-2</v>
      </c>
      <c r="L11" s="85"/>
      <c r="M11" s="84"/>
      <c r="N11" s="84"/>
    </row>
    <row r="12" spans="1:14" ht="16">
      <c r="A12" s="84"/>
      <c r="B12" s="55"/>
      <c r="C12" s="55"/>
      <c r="D12" s="55"/>
      <c r="E12" s="55"/>
      <c r="F12" s="55"/>
      <c r="G12" s="55"/>
      <c r="H12" s="55"/>
      <c r="I12" s="84"/>
      <c r="J12" s="60">
        <f t="shared" si="0"/>
        <v>8</v>
      </c>
      <c r="K12" s="87">
        <f>+IFERROR((Overview!$L$34*J12)/Overview!$E$39,0)</f>
        <v>3.6764518187619652E-2</v>
      </c>
      <c r="L12" s="85"/>
      <c r="M12" s="84"/>
      <c r="N12" s="84"/>
    </row>
    <row r="13" spans="1:14" ht="16">
      <c r="A13" s="84"/>
      <c r="B13" s="90"/>
      <c r="C13" s="90"/>
      <c r="D13" s="174" t="s">
        <v>101</v>
      </c>
      <c r="E13" s="159"/>
      <c r="F13" s="159"/>
      <c r="G13" s="159"/>
      <c r="H13" s="160"/>
      <c r="I13" s="84"/>
      <c r="J13" s="60">
        <f t="shared" si="0"/>
        <v>9</v>
      </c>
      <c r="K13" s="87">
        <f>+IFERROR((Overview!$L$34*J13)/Overview!$E$39,0)</f>
        <v>4.136008296107211E-2</v>
      </c>
      <c r="L13" s="85"/>
      <c r="M13" s="84"/>
      <c r="N13" s="84"/>
    </row>
    <row r="14" spans="1:14" ht="16">
      <c r="A14" s="84"/>
      <c r="B14" s="91"/>
      <c r="C14" s="92">
        <f>+Overview!M37</f>
        <v>5.5146777281429485E-2</v>
      </c>
      <c r="D14" s="70">
        <f t="shared" ref="D14:E14" si="1">+E14-$H$5</f>
        <v>1472</v>
      </c>
      <c r="E14" s="70">
        <f t="shared" si="1"/>
        <v>1722</v>
      </c>
      <c r="F14" s="70">
        <f>+H4</f>
        <v>1972</v>
      </c>
      <c r="G14" s="70">
        <f t="shared" ref="G14:H14" si="2">+F14+$H$5</f>
        <v>2222</v>
      </c>
      <c r="H14" s="70">
        <f t="shared" si="2"/>
        <v>2472</v>
      </c>
      <c r="I14" s="84"/>
      <c r="J14" s="60">
        <f t="shared" si="0"/>
        <v>10</v>
      </c>
      <c r="K14" s="87">
        <f>+IFERROR((Overview!$L$34*J14)/Overview!$E$39,0)</f>
        <v>4.5955647734524568E-2</v>
      </c>
      <c r="L14" s="85"/>
      <c r="M14" s="84"/>
      <c r="N14" s="84"/>
    </row>
    <row r="15" spans="1:14" ht="15" customHeight="1">
      <c r="A15" s="84"/>
      <c r="B15" s="175" t="s">
        <v>34</v>
      </c>
      <c r="C15" s="18">
        <f t="shared" ref="C15:C16" si="3">+C16+$H$7</f>
        <v>6700000</v>
      </c>
      <c r="D15" s="93">
        <v>0.13539999999999999</v>
      </c>
      <c r="E15" s="93">
        <v>0.15459999999999999</v>
      </c>
      <c r="F15" s="93">
        <v>0.1739</v>
      </c>
      <c r="G15" s="93">
        <v>0.19320000000000001</v>
      </c>
      <c r="H15" s="93">
        <v>0.21249999999999999</v>
      </c>
      <c r="I15" s="84"/>
      <c r="J15" s="60">
        <f t="shared" si="0"/>
        <v>11</v>
      </c>
      <c r="K15" s="87">
        <f>+IFERROR((Overview!$L$34*J15)/Overview!$E$39,0)</f>
        <v>5.0551212507977027E-2</v>
      </c>
      <c r="L15" s="85"/>
      <c r="M15" s="84"/>
      <c r="N15" s="84"/>
    </row>
    <row r="16" spans="1:14" ht="15" customHeight="1">
      <c r="A16" s="84"/>
      <c r="B16" s="170"/>
      <c r="C16" s="18">
        <f t="shared" si="3"/>
        <v>6600000</v>
      </c>
      <c r="D16" s="93">
        <v>0.1394</v>
      </c>
      <c r="E16" s="94">
        <v>0.1588</v>
      </c>
      <c r="F16" s="94">
        <v>0.17829999999999999</v>
      </c>
      <c r="G16" s="94">
        <v>0.1978</v>
      </c>
      <c r="H16" s="93">
        <v>0.2172</v>
      </c>
      <c r="I16" s="84"/>
      <c r="J16" s="60">
        <f t="shared" si="0"/>
        <v>12</v>
      </c>
      <c r="K16" s="87">
        <f>+IFERROR((Overview!$L$34*J16)/Overview!$E$39,0)</f>
        <v>5.5146777281429485E-2</v>
      </c>
      <c r="L16" s="85"/>
      <c r="M16" s="84"/>
      <c r="N16" s="84"/>
    </row>
    <row r="17" spans="1:14" ht="16">
      <c r="A17" s="84"/>
      <c r="B17" s="170"/>
      <c r="C17" s="18">
        <f>+H6</f>
        <v>6500000</v>
      </c>
      <c r="D17" s="93">
        <v>0.14349999999999999</v>
      </c>
      <c r="E17" s="94">
        <v>0.16309999999999999</v>
      </c>
      <c r="F17" s="95">
        <v>0.18279999999999999</v>
      </c>
      <c r="G17" s="94">
        <v>0.2024</v>
      </c>
      <c r="H17" s="93">
        <v>0.22209999999999999</v>
      </c>
      <c r="I17" s="84"/>
      <c r="J17" s="60">
        <f t="shared" si="0"/>
        <v>13</v>
      </c>
      <c r="K17" s="87">
        <f>+IFERROR((Overview!$L$34*J17)/Overview!$E$39,0)</f>
        <v>5.9742342054881943E-2</v>
      </c>
      <c r="L17" s="85"/>
      <c r="M17" s="84"/>
      <c r="N17" s="84"/>
    </row>
    <row r="18" spans="1:14" ht="16">
      <c r="A18" s="84"/>
      <c r="B18" s="170"/>
      <c r="C18" s="18">
        <f t="shared" ref="C18:C19" si="4">+C17-$H$7</f>
        <v>6400000</v>
      </c>
      <c r="D18" s="93">
        <v>0.14760000000000001</v>
      </c>
      <c r="E18" s="94">
        <v>0.16750000000000001</v>
      </c>
      <c r="F18" s="94">
        <v>0.18729999999999999</v>
      </c>
      <c r="G18" s="94">
        <v>0.2072</v>
      </c>
      <c r="H18" s="93">
        <v>0.22700000000000001</v>
      </c>
      <c r="I18" s="84"/>
      <c r="J18" s="60">
        <f t="shared" si="0"/>
        <v>14</v>
      </c>
      <c r="K18" s="87">
        <f>+IFERROR((Overview!$L$34*J18)/Overview!$E$39,0)</f>
        <v>6.4337906828334401E-2</v>
      </c>
      <c r="L18" s="85"/>
      <c r="M18" s="84"/>
      <c r="N18" s="84"/>
    </row>
    <row r="19" spans="1:14" ht="16">
      <c r="A19" s="84"/>
      <c r="B19" s="171"/>
      <c r="C19" s="18">
        <f t="shared" si="4"/>
        <v>6300000</v>
      </c>
      <c r="D19" s="93">
        <v>0.15190000000000001</v>
      </c>
      <c r="E19" s="93">
        <v>0.1719</v>
      </c>
      <c r="F19" s="93">
        <v>0.192</v>
      </c>
      <c r="G19" s="93">
        <v>0.21199999999999999</v>
      </c>
      <c r="H19" s="93">
        <v>0.2321</v>
      </c>
      <c r="I19" s="84"/>
      <c r="J19" s="60">
        <f t="shared" si="0"/>
        <v>15</v>
      </c>
      <c r="K19" s="87">
        <f>+IFERROR((Overview!$L$34*J19)/Overview!$E$39,0)</f>
        <v>6.8933471601786853E-2</v>
      </c>
      <c r="L19" s="85"/>
      <c r="M19" s="84"/>
      <c r="N19" s="84"/>
    </row>
    <row r="20" spans="1:14" ht="16">
      <c r="A20" s="84"/>
      <c r="B20" s="55"/>
      <c r="C20" s="55"/>
      <c r="D20" s="55"/>
      <c r="E20" s="55"/>
      <c r="F20" s="55"/>
      <c r="G20" s="55"/>
      <c r="H20" s="55"/>
      <c r="I20" s="84"/>
      <c r="J20" s="60">
        <f t="shared" si="0"/>
        <v>16</v>
      </c>
      <c r="K20" s="87">
        <f>+IFERROR((Overview!$L$34*J20)/Overview!$E$39,0)</f>
        <v>7.3529036375239304E-2</v>
      </c>
      <c r="L20" s="85"/>
      <c r="M20" s="84"/>
      <c r="N20" s="84"/>
    </row>
    <row r="21" spans="1:14" ht="16">
      <c r="A21" s="84"/>
      <c r="B21" s="88"/>
      <c r="C21" s="56"/>
      <c r="D21" s="173" t="s">
        <v>100</v>
      </c>
      <c r="E21" s="157"/>
      <c r="F21" s="157"/>
      <c r="G21" s="157"/>
      <c r="H21" s="157"/>
      <c r="I21" s="84"/>
      <c r="J21" s="60">
        <f t="shared" si="0"/>
        <v>17</v>
      </c>
      <c r="K21" s="87">
        <f>+IFERROR((Overview!$L$34*J21)/Overview!$E$39,0)</f>
        <v>7.8124601148691769E-2</v>
      </c>
      <c r="L21" s="85"/>
      <c r="M21" s="84"/>
      <c r="N21" s="84"/>
    </row>
    <row r="22" spans="1:14" ht="16">
      <c r="A22" s="84"/>
      <c r="B22" s="55"/>
      <c r="C22" s="55"/>
      <c r="D22" s="55"/>
      <c r="E22" s="55"/>
      <c r="F22" s="55"/>
      <c r="G22" s="55"/>
      <c r="H22" s="55"/>
      <c r="I22" s="84"/>
      <c r="J22" s="60">
        <f t="shared" si="0"/>
        <v>18</v>
      </c>
      <c r="K22" s="87">
        <f>+IFERROR((Overview!$L$34*J22)/Overview!$E$39,0)</f>
        <v>8.272016592214422E-2</v>
      </c>
      <c r="L22" s="85"/>
      <c r="M22" s="84"/>
      <c r="N22" s="84"/>
    </row>
    <row r="23" spans="1:14" ht="16">
      <c r="A23" s="84"/>
      <c r="B23" s="90"/>
      <c r="C23" s="90"/>
      <c r="D23" s="168" t="s">
        <v>101</v>
      </c>
      <c r="E23" s="159"/>
      <c r="F23" s="159"/>
      <c r="G23" s="159"/>
      <c r="H23" s="160"/>
      <c r="I23" s="84"/>
      <c r="J23" s="60">
        <f t="shared" si="0"/>
        <v>19</v>
      </c>
      <c r="K23" s="87">
        <f>+IFERROR((Overview!$L$34*J23)/Overview!$E$39,0)</f>
        <v>8.7315730695596686E-2</v>
      </c>
      <c r="L23" s="85"/>
      <c r="M23" s="84"/>
      <c r="N23" s="84"/>
    </row>
    <row r="24" spans="1:14" ht="16">
      <c r="A24" s="84"/>
      <c r="B24" s="175" t="s">
        <v>38</v>
      </c>
      <c r="C24" s="96">
        <f>+Overview!M37</f>
        <v>5.5146777281429485E-2</v>
      </c>
      <c r="D24" s="70">
        <f t="shared" ref="D24:H24" si="5">+D44</f>
        <v>1472</v>
      </c>
      <c r="E24" s="70">
        <f t="shared" si="5"/>
        <v>1722</v>
      </c>
      <c r="F24" s="70">
        <f t="shared" si="5"/>
        <v>1972</v>
      </c>
      <c r="G24" s="70">
        <f t="shared" si="5"/>
        <v>2222</v>
      </c>
      <c r="H24" s="70">
        <f t="shared" si="5"/>
        <v>2472</v>
      </c>
      <c r="I24" s="84"/>
      <c r="J24" s="60">
        <f t="shared" si="0"/>
        <v>20</v>
      </c>
      <c r="K24" s="87">
        <f>+IFERROR((Overview!$L$34*J24)/Overview!$E$39,0)</f>
        <v>9.1911295469049137E-2</v>
      </c>
      <c r="L24" s="85"/>
      <c r="M24" s="84"/>
      <c r="N24" s="84"/>
    </row>
    <row r="25" spans="1:14" ht="15" customHeight="1">
      <c r="A25" s="84"/>
      <c r="B25" s="170"/>
      <c r="C25" s="18">
        <f t="shared" ref="C25:C26" si="6">+C26+$H$9</f>
        <v>1250000</v>
      </c>
      <c r="D25" s="93">
        <v>0.1318</v>
      </c>
      <c r="E25" s="93">
        <v>0.14979999999999999</v>
      </c>
      <c r="F25" s="93">
        <v>0.16789999999999999</v>
      </c>
      <c r="G25" s="93">
        <v>0.18590000000000001</v>
      </c>
      <c r="H25" s="93">
        <v>0.20399999999999999</v>
      </c>
      <c r="I25" s="84"/>
      <c r="J25" s="60">
        <f t="shared" si="0"/>
        <v>21</v>
      </c>
      <c r="K25" s="87">
        <f>+IFERROR((Overview!$L$34*J25)/Overview!$E$39,0)</f>
        <v>9.6506860242501602E-2</v>
      </c>
      <c r="L25" s="85"/>
      <c r="M25" s="84"/>
      <c r="N25" s="84"/>
    </row>
    <row r="26" spans="1:14" ht="15" customHeight="1">
      <c r="A26" s="84"/>
      <c r="B26" s="170"/>
      <c r="C26" s="18">
        <f t="shared" si="6"/>
        <v>1250000</v>
      </c>
      <c r="D26" s="93">
        <v>0.13739999999999999</v>
      </c>
      <c r="E26" s="94">
        <v>0.15620000000000001</v>
      </c>
      <c r="F26" s="94">
        <v>0.17499999999999999</v>
      </c>
      <c r="G26" s="94">
        <v>0.1938</v>
      </c>
      <c r="H26" s="93">
        <v>0.2127</v>
      </c>
      <c r="I26" s="84"/>
      <c r="J26" s="60">
        <f t="shared" si="0"/>
        <v>22</v>
      </c>
      <c r="K26" s="87">
        <f>+IFERROR((Overview!$L$34*J26)/Overview!$E$39,0)</f>
        <v>0.10110242501595405</v>
      </c>
      <c r="L26" s="85"/>
      <c r="M26" s="84"/>
      <c r="N26" s="84"/>
    </row>
    <row r="27" spans="1:14" ht="16">
      <c r="A27" s="84"/>
      <c r="B27" s="170"/>
      <c r="C27" s="18">
        <f>+H8</f>
        <v>1250000</v>
      </c>
      <c r="D27" s="93">
        <v>0.14349999999999999</v>
      </c>
      <c r="E27" s="94">
        <v>0.16309999999999999</v>
      </c>
      <c r="F27" s="95">
        <v>0.18279999999999999</v>
      </c>
      <c r="G27" s="94">
        <v>0.2024</v>
      </c>
      <c r="H27" s="93">
        <v>0.22209999999999999</v>
      </c>
      <c r="I27" s="84"/>
      <c r="J27" s="60">
        <f t="shared" si="0"/>
        <v>23</v>
      </c>
      <c r="K27" s="87">
        <f>+IFERROR((Overview!$L$34*J27)/Overview!$E$39,0)</f>
        <v>0.1056979897894065</v>
      </c>
      <c r="L27" s="85"/>
      <c r="M27" s="84"/>
      <c r="N27" s="84"/>
    </row>
    <row r="28" spans="1:14" ht="16">
      <c r="A28" s="84"/>
      <c r="B28" s="170"/>
      <c r="C28" s="18">
        <f t="shared" ref="C28:C29" si="7">+C27-$H$9</f>
        <v>1250000</v>
      </c>
      <c r="D28" s="93">
        <v>0.15010000000000001</v>
      </c>
      <c r="E28" s="94">
        <v>0.17069999999999999</v>
      </c>
      <c r="F28" s="94">
        <v>0.19120000000000001</v>
      </c>
      <c r="G28" s="94">
        <v>0.21179999999999999</v>
      </c>
      <c r="H28" s="93">
        <v>0.2324</v>
      </c>
      <c r="I28" s="84"/>
      <c r="J28" s="60">
        <f t="shared" si="0"/>
        <v>24</v>
      </c>
      <c r="K28" s="87">
        <f>+IFERROR((Overview!$L$34*J28)/Overview!$E$39,0)</f>
        <v>0.11029355456285897</v>
      </c>
      <c r="L28" s="85"/>
      <c r="M28" s="84"/>
      <c r="N28" s="84"/>
    </row>
    <row r="29" spans="1:14" ht="16">
      <c r="A29" s="84"/>
      <c r="B29" s="171"/>
      <c r="C29" s="18">
        <f t="shared" si="7"/>
        <v>1250000</v>
      </c>
      <c r="D29" s="93">
        <v>0.15740000000000001</v>
      </c>
      <c r="E29" s="93">
        <v>0.17899999999999999</v>
      </c>
      <c r="F29" s="93">
        <v>0.20050000000000001</v>
      </c>
      <c r="G29" s="93">
        <v>0.22209999999999999</v>
      </c>
      <c r="H29" s="93">
        <v>0.2437</v>
      </c>
      <c r="I29" s="84"/>
      <c r="J29" s="60">
        <f t="shared" si="0"/>
        <v>25</v>
      </c>
      <c r="K29" s="87">
        <f>+IFERROR((Overview!$L$34*J29)/Overview!$E$39,0)</f>
        <v>0.11488911933631142</v>
      </c>
      <c r="L29" s="85"/>
      <c r="M29" s="84"/>
      <c r="N29" s="84"/>
    </row>
    <row r="30" spans="1:14" ht="16">
      <c r="A30" s="84"/>
      <c r="B30" s="85"/>
      <c r="C30" s="84"/>
      <c r="D30" s="84"/>
      <c r="E30" s="84"/>
      <c r="F30" s="84"/>
      <c r="G30" s="84"/>
      <c r="H30" s="84"/>
      <c r="I30" s="84"/>
      <c r="J30" s="60">
        <f t="shared" si="0"/>
        <v>26</v>
      </c>
      <c r="K30" s="87">
        <f>+IFERROR((Overview!$L$34*J30)/Overview!$E$39,0)</f>
        <v>0.11948468410976389</v>
      </c>
      <c r="L30" s="85"/>
      <c r="M30" s="84"/>
      <c r="N30" s="84"/>
    </row>
    <row r="31" spans="1:14" ht="15" customHeight="1">
      <c r="A31" s="84"/>
      <c r="B31" s="89"/>
      <c r="C31" s="56"/>
      <c r="D31" s="173" t="s">
        <v>102</v>
      </c>
      <c r="E31" s="157"/>
      <c r="F31" s="157"/>
      <c r="G31" s="157"/>
      <c r="H31" s="157"/>
      <c r="I31" s="84"/>
      <c r="J31" s="60">
        <f t="shared" si="0"/>
        <v>27</v>
      </c>
      <c r="K31" s="87">
        <f>+IFERROR((Overview!$L$34*J31)/Overview!$E$39,0)</f>
        <v>0.12408024888321634</v>
      </c>
      <c r="L31" s="85"/>
      <c r="M31" s="84"/>
      <c r="N31" s="84"/>
    </row>
    <row r="32" spans="1:14" ht="16">
      <c r="A32" s="84"/>
      <c r="B32" s="58"/>
      <c r="C32" s="55"/>
      <c r="D32" s="55"/>
      <c r="E32" s="55"/>
      <c r="F32" s="55"/>
      <c r="G32" s="55"/>
      <c r="H32" s="55"/>
      <c r="I32" s="84"/>
      <c r="J32" s="60">
        <f t="shared" si="0"/>
        <v>28</v>
      </c>
      <c r="K32" s="87">
        <f>+IFERROR((Overview!$L$34*J32)/Overview!$E$39,0)</f>
        <v>0.1286758136566688</v>
      </c>
      <c r="L32" s="85"/>
      <c r="M32" s="84"/>
      <c r="N32" s="84"/>
    </row>
    <row r="33" spans="1:14" ht="16">
      <c r="A33" s="84"/>
      <c r="B33" s="97"/>
      <c r="C33" s="90"/>
      <c r="D33" s="168" t="s">
        <v>101</v>
      </c>
      <c r="E33" s="159"/>
      <c r="F33" s="159"/>
      <c r="G33" s="159"/>
      <c r="H33" s="160"/>
      <c r="I33" s="84"/>
      <c r="J33" s="60">
        <f t="shared" si="0"/>
        <v>29</v>
      </c>
      <c r="K33" s="87">
        <f>+IFERROR((Overview!$L$34*J33)/Overview!$E$39,0)</f>
        <v>0.13327137843012124</v>
      </c>
      <c r="L33" s="85"/>
      <c r="M33" s="84"/>
      <c r="N33" s="84"/>
    </row>
    <row r="34" spans="1:14" ht="16">
      <c r="A34" s="84"/>
      <c r="B34" s="98"/>
      <c r="C34" s="99" t="str">
        <f>+TEXT('Annual CFs'!C55*100,"0.0")&amp;"% / $"&amp;TEXT('Annual CFs'!C56/1000,0)&amp;"k"</f>
        <v>8.5% / $9306k</v>
      </c>
      <c r="D34" s="100">
        <f t="shared" ref="D34:H34" si="8">+D14</f>
        <v>1472</v>
      </c>
      <c r="E34" s="100">
        <f t="shared" si="8"/>
        <v>1722</v>
      </c>
      <c r="F34" s="100">
        <f t="shared" si="8"/>
        <v>1972</v>
      </c>
      <c r="G34" s="100">
        <f t="shared" si="8"/>
        <v>2222</v>
      </c>
      <c r="H34" s="100">
        <f t="shared" si="8"/>
        <v>2472</v>
      </c>
      <c r="I34" s="84"/>
      <c r="J34" s="60">
        <f t="shared" si="0"/>
        <v>30</v>
      </c>
      <c r="K34" s="87">
        <f>+IFERROR((Overview!$L$34*J34)/Overview!$E$39,0)</f>
        <v>0.13786694320357371</v>
      </c>
      <c r="L34" s="85"/>
      <c r="M34" s="84"/>
      <c r="N34" s="84"/>
    </row>
    <row r="35" spans="1:14" ht="15" customHeight="1">
      <c r="A35" s="84"/>
      <c r="B35" s="175" t="s">
        <v>34</v>
      </c>
      <c r="C35" s="101">
        <f t="shared" ref="C35:C39" si="9">+C15</f>
        <v>6700000</v>
      </c>
      <c r="D35" s="102" t="s">
        <v>103</v>
      </c>
      <c r="E35" s="102" t="s">
        <v>104</v>
      </c>
      <c r="F35" s="102" t="s">
        <v>105</v>
      </c>
      <c r="G35" s="102" t="s">
        <v>106</v>
      </c>
      <c r="H35" s="102" t="s">
        <v>107</v>
      </c>
      <c r="I35" s="85"/>
      <c r="J35" s="60">
        <f t="shared" si="0"/>
        <v>31</v>
      </c>
      <c r="K35" s="87">
        <f>+IFERROR((Overview!$L$34*J35)/Overview!$E$39,0)</f>
        <v>0.14246250797702617</v>
      </c>
      <c r="L35" s="85"/>
      <c r="M35" s="84"/>
      <c r="N35" s="84"/>
    </row>
    <row r="36" spans="1:14" ht="16">
      <c r="A36" s="84"/>
      <c r="B36" s="170"/>
      <c r="C36" s="101">
        <f t="shared" si="9"/>
        <v>6600000</v>
      </c>
      <c r="D36" s="102" t="s">
        <v>108</v>
      </c>
      <c r="E36" s="103" t="s">
        <v>109</v>
      </c>
      <c r="F36" s="103" t="s">
        <v>110</v>
      </c>
      <c r="G36" s="103" t="s">
        <v>111</v>
      </c>
      <c r="H36" s="102" t="s">
        <v>112</v>
      </c>
      <c r="I36" s="85"/>
      <c r="J36" s="60">
        <f t="shared" si="0"/>
        <v>32</v>
      </c>
      <c r="K36" s="87">
        <f>+IFERROR((Overview!$L$34*J36)/Overview!$E$39,0)</f>
        <v>0.14705807275047861</v>
      </c>
      <c r="L36" s="85"/>
      <c r="M36" s="84"/>
      <c r="N36" s="84"/>
    </row>
    <row r="37" spans="1:14" ht="16">
      <c r="A37" s="84"/>
      <c r="B37" s="170"/>
      <c r="C37" s="101">
        <f t="shared" si="9"/>
        <v>6500000</v>
      </c>
      <c r="D37" s="102" t="s">
        <v>113</v>
      </c>
      <c r="E37" s="103" t="s">
        <v>114</v>
      </c>
      <c r="F37" s="42" t="s">
        <v>115</v>
      </c>
      <c r="G37" s="103" t="s">
        <v>116</v>
      </c>
      <c r="H37" s="102" t="s">
        <v>117</v>
      </c>
      <c r="I37" s="85"/>
      <c r="J37" s="60">
        <f t="shared" si="0"/>
        <v>33</v>
      </c>
      <c r="K37" s="87">
        <f>+IFERROR((Overview!$L$34*J37)/Overview!$E$39,0)</f>
        <v>0.15165363752393107</v>
      </c>
      <c r="L37" s="85"/>
      <c r="M37" s="84"/>
      <c r="N37" s="84"/>
    </row>
    <row r="38" spans="1:14" ht="16">
      <c r="A38" s="84"/>
      <c r="B38" s="170"/>
      <c r="C38" s="101">
        <f t="shared" si="9"/>
        <v>6400000</v>
      </c>
      <c r="D38" s="102" t="s">
        <v>118</v>
      </c>
      <c r="E38" s="103" t="s">
        <v>119</v>
      </c>
      <c r="F38" s="103" t="s">
        <v>120</v>
      </c>
      <c r="G38" s="103" t="s">
        <v>121</v>
      </c>
      <c r="H38" s="102" t="s">
        <v>122</v>
      </c>
      <c r="I38" s="85"/>
      <c r="J38" s="60">
        <f t="shared" si="0"/>
        <v>34</v>
      </c>
      <c r="K38" s="87">
        <f>+IFERROR((Overview!$L$34*J38)/Overview!$E$39,0)</f>
        <v>0.15624920229738354</v>
      </c>
      <c r="L38" s="85"/>
      <c r="M38" s="84"/>
      <c r="N38" s="84"/>
    </row>
    <row r="39" spans="1:14" ht="16">
      <c r="A39" s="84"/>
      <c r="B39" s="171"/>
      <c r="C39" s="101">
        <f t="shared" si="9"/>
        <v>6300000</v>
      </c>
      <c r="D39" s="102" t="s">
        <v>123</v>
      </c>
      <c r="E39" s="102" t="s">
        <v>124</v>
      </c>
      <c r="F39" s="102" t="s">
        <v>125</v>
      </c>
      <c r="G39" s="102" t="s">
        <v>126</v>
      </c>
      <c r="H39" s="102" t="s">
        <v>127</v>
      </c>
      <c r="I39" s="85"/>
      <c r="J39" s="60">
        <f t="shared" si="0"/>
        <v>35</v>
      </c>
      <c r="K39" s="87">
        <f>+IFERROR((Overview!$L$34*J39)/Overview!$E$39,0)</f>
        <v>0.160844767070836</v>
      </c>
      <c r="L39" s="85"/>
      <c r="M39" s="84"/>
      <c r="N39" s="84"/>
    </row>
    <row r="40" spans="1:14" ht="16">
      <c r="A40" s="84"/>
      <c r="B40" s="84"/>
      <c r="C40" s="84"/>
      <c r="D40" s="84"/>
      <c r="E40" s="84"/>
      <c r="F40" s="84"/>
      <c r="G40" s="84"/>
      <c r="H40" s="84"/>
      <c r="I40" s="84"/>
      <c r="J40" s="60">
        <f t="shared" si="0"/>
        <v>36</v>
      </c>
      <c r="K40" s="87">
        <f>+IFERROR((Overview!$L$34*J40)/Overview!$E$39,0)</f>
        <v>0.16544033184428844</v>
      </c>
      <c r="L40" s="85"/>
      <c r="M40" s="84"/>
      <c r="N40" s="84"/>
    </row>
    <row r="41" spans="1:14" ht="16">
      <c r="A41" s="84"/>
      <c r="B41" s="88"/>
      <c r="C41" s="56"/>
      <c r="D41" s="173" t="s">
        <v>128</v>
      </c>
      <c r="E41" s="157"/>
      <c r="F41" s="157"/>
      <c r="G41" s="157"/>
      <c r="H41" s="157"/>
      <c r="I41" s="84"/>
      <c r="J41" s="60">
        <f t="shared" si="0"/>
        <v>37</v>
      </c>
      <c r="K41" s="87">
        <f>+IFERROR((Overview!$L$34*J41)/Overview!$E$39,0)</f>
        <v>0.17003589661774091</v>
      </c>
      <c r="L41" s="85"/>
      <c r="M41" s="84"/>
      <c r="N41" s="84"/>
    </row>
    <row r="42" spans="1:14" ht="16">
      <c r="A42" s="84"/>
      <c r="B42" s="55"/>
      <c r="C42" s="55"/>
      <c r="D42" s="55"/>
      <c r="E42" s="55"/>
      <c r="F42" s="55"/>
      <c r="G42" s="55"/>
      <c r="H42" s="55"/>
      <c r="I42" s="84"/>
      <c r="J42" s="60">
        <f t="shared" si="0"/>
        <v>38</v>
      </c>
      <c r="K42" s="87">
        <f>+IFERROR((Overview!$L$34*J42)/Overview!$E$39,0)</f>
        <v>0.17463146139119337</v>
      </c>
      <c r="L42" s="85"/>
      <c r="M42" s="84"/>
      <c r="N42" s="84"/>
    </row>
    <row r="43" spans="1:14" ht="16">
      <c r="A43" s="84"/>
      <c r="B43" s="90"/>
      <c r="C43" s="90"/>
      <c r="D43" s="168" t="s">
        <v>101</v>
      </c>
      <c r="E43" s="159"/>
      <c r="F43" s="159"/>
      <c r="G43" s="159"/>
      <c r="H43" s="160"/>
      <c r="I43" s="84"/>
      <c r="J43" s="60">
        <f t="shared" si="0"/>
        <v>39</v>
      </c>
      <c r="K43" s="87">
        <f>+IFERROR((Overview!$L$34*J43)/Overview!$E$39,0)</f>
        <v>0.17922702616464581</v>
      </c>
      <c r="L43" s="85"/>
      <c r="M43" s="84"/>
      <c r="N43" s="84"/>
    </row>
    <row r="44" spans="1:14" ht="16">
      <c r="A44" s="84"/>
      <c r="B44" s="91"/>
      <c r="C44" s="99" t="str">
        <f>+TEXT('Annual CFs'!C71*100,"0.0")&amp;"% / $"&amp;TEXT('Annual CFs'!C72/1000,0)&amp;"k"</f>
        <v>10.9% / $7727k</v>
      </c>
      <c r="D44" s="100">
        <f t="shared" ref="D44:H44" si="10">+D34</f>
        <v>1472</v>
      </c>
      <c r="E44" s="100">
        <f t="shared" si="10"/>
        <v>1722</v>
      </c>
      <c r="F44" s="100">
        <f t="shared" si="10"/>
        <v>1972</v>
      </c>
      <c r="G44" s="100">
        <f t="shared" si="10"/>
        <v>2222</v>
      </c>
      <c r="H44" s="100">
        <f t="shared" si="10"/>
        <v>2472</v>
      </c>
      <c r="I44" s="84"/>
      <c r="J44" s="60">
        <f t="shared" si="0"/>
        <v>40</v>
      </c>
      <c r="K44" s="87">
        <f>+IFERROR((Overview!$L$34*J44)/Overview!$E$39,0)</f>
        <v>0.18382259093809827</v>
      </c>
      <c r="L44" s="85"/>
      <c r="M44" s="84"/>
      <c r="N44" s="84"/>
    </row>
    <row r="45" spans="1:14" ht="15" customHeight="1">
      <c r="A45" s="84"/>
      <c r="B45" s="169" t="s">
        <v>34</v>
      </c>
      <c r="C45" s="18">
        <f t="shared" ref="C45:C49" si="11">+C35</f>
        <v>6700000</v>
      </c>
      <c r="D45" s="102" t="s">
        <v>129</v>
      </c>
      <c r="E45" s="102" t="s">
        <v>130</v>
      </c>
      <c r="F45" s="102" t="s">
        <v>131</v>
      </c>
      <c r="G45" s="102" t="s">
        <v>132</v>
      </c>
      <c r="H45" s="102" t="s">
        <v>133</v>
      </c>
      <c r="I45" s="85"/>
      <c r="J45" s="60">
        <f t="shared" si="0"/>
        <v>41</v>
      </c>
      <c r="K45" s="87">
        <f>+IFERROR((Overview!$L$34*J45)/Overview!$E$39,0)</f>
        <v>0.18841815571155074</v>
      </c>
      <c r="L45" s="85"/>
      <c r="M45" s="84"/>
      <c r="N45" s="84"/>
    </row>
    <row r="46" spans="1:14" ht="16">
      <c r="A46" s="84"/>
      <c r="B46" s="170"/>
      <c r="C46" s="18">
        <f t="shared" si="11"/>
        <v>6600000</v>
      </c>
      <c r="D46" s="102" t="s">
        <v>134</v>
      </c>
      <c r="E46" s="103" t="s">
        <v>135</v>
      </c>
      <c r="F46" s="103" t="s">
        <v>136</v>
      </c>
      <c r="G46" s="103" t="s">
        <v>137</v>
      </c>
      <c r="H46" s="102" t="s">
        <v>138</v>
      </c>
      <c r="I46" s="85"/>
      <c r="J46" s="60">
        <f t="shared" si="0"/>
        <v>42</v>
      </c>
      <c r="K46" s="87">
        <f>+IFERROR((Overview!$L$34*J46)/Overview!$E$39,0)</f>
        <v>0.1930137204850032</v>
      </c>
      <c r="L46" s="85"/>
      <c r="M46" s="84"/>
      <c r="N46" s="84"/>
    </row>
    <row r="47" spans="1:14" ht="16">
      <c r="A47" s="84"/>
      <c r="B47" s="170"/>
      <c r="C47" s="18">
        <f t="shared" si="11"/>
        <v>6500000</v>
      </c>
      <c r="D47" s="102" t="s">
        <v>139</v>
      </c>
      <c r="E47" s="103" t="s">
        <v>140</v>
      </c>
      <c r="F47" s="42" t="s">
        <v>141</v>
      </c>
      <c r="G47" s="103" t="s">
        <v>142</v>
      </c>
      <c r="H47" s="102" t="s">
        <v>143</v>
      </c>
      <c r="I47" s="85"/>
      <c r="J47" s="60">
        <f t="shared" si="0"/>
        <v>43</v>
      </c>
      <c r="K47" s="87">
        <f>+IFERROR((Overview!$L$34*J47)/Overview!$E$39,0)</f>
        <v>0.19760928525845564</v>
      </c>
      <c r="L47" s="85"/>
      <c r="M47" s="84"/>
      <c r="N47" s="84"/>
    </row>
    <row r="48" spans="1:14" ht="16">
      <c r="A48" s="84"/>
      <c r="B48" s="170"/>
      <c r="C48" s="18">
        <f t="shared" si="11"/>
        <v>6400000</v>
      </c>
      <c r="D48" s="102" t="s">
        <v>144</v>
      </c>
      <c r="E48" s="103" t="s">
        <v>145</v>
      </c>
      <c r="F48" s="103" t="s">
        <v>146</v>
      </c>
      <c r="G48" s="103" t="s">
        <v>147</v>
      </c>
      <c r="H48" s="102" t="s">
        <v>148</v>
      </c>
      <c r="I48" s="85"/>
      <c r="J48" s="60">
        <f t="shared" si="0"/>
        <v>44</v>
      </c>
      <c r="K48" s="87">
        <f>+IFERROR((Overview!$L$34*J48)/Overview!$E$39,0)</f>
        <v>0.20220485003190811</v>
      </c>
      <c r="L48" s="85"/>
      <c r="M48" s="84"/>
      <c r="N48" s="84"/>
    </row>
    <row r="49" spans="1:14" ht="16">
      <c r="A49" s="84"/>
      <c r="B49" s="171"/>
      <c r="C49" s="18">
        <f t="shared" si="11"/>
        <v>6300000</v>
      </c>
      <c r="D49" s="102" t="s">
        <v>149</v>
      </c>
      <c r="E49" s="102" t="s">
        <v>150</v>
      </c>
      <c r="F49" s="102" t="s">
        <v>151</v>
      </c>
      <c r="G49" s="102" t="s">
        <v>152</v>
      </c>
      <c r="H49" s="102" t="s">
        <v>153</v>
      </c>
      <c r="I49" s="85"/>
      <c r="J49" s="60">
        <f t="shared" si="0"/>
        <v>45</v>
      </c>
      <c r="K49" s="87">
        <f>+IFERROR((Overview!$L$34*J49)/Overview!$E$39,0)</f>
        <v>0.20680041480536057</v>
      </c>
      <c r="L49" s="85"/>
      <c r="M49" s="84"/>
      <c r="N49" s="84"/>
    </row>
    <row r="50" spans="1:14" ht="16">
      <c r="A50" s="84"/>
      <c r="B50" s="84"/>
      <c r="C50" s="84"/>
      <c r="D50" s="84"/>
      <c r="E50" s="84"/>
      <c r="F50" s="84"/>
      <c r="G50" s="84"/>
      <c r="H50" s="84"/>
      <c r="I50" s="84"/>
      <c r="J50" s="85"/>
      <c r="K50" s="85"/>
      <c r="L50" s="85"/>
      <c r="M50" s="84"/>
      <c r="N50" s="84"/>
    </row>
    <row r="51" spans="1:14" ht="16">
      <c r="A51" s="84"/>
      <c r="B51" s="84"/>
      <c r="C51" s="1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4" ht="16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3" spans="1:14" ht="16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</sheetData>
  <mergeCells count="14">
    <mergeCell ref="D43:H43"/>
    <mergeCell ref="B45:B49"/>
    <mergeCell ref="B2:H2"/>
    <mergeCell ref="J2:K2"/>
    <mergeCell ref="D11:H11"/>
    <mergeCell ref="D13:H13"/>
    <mergeCell ref="B15:B19"/>
    <mergeCell ref="D21:H21"/>
    <mergeCell ref="B24:B29"/>
    <mergeCell ref="D23:H23"/>
    <mergeCell ref="D31:H31"/>
    <mergeCell ref="D33:H33"/>
    <mergeCell ref="B35:B39"/>
    <mergeCell ref="D41:H4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1.1640625" defaultRowHeight="15" customHeight="1"/>
  <cols>
    <col min="1" max="1" width="8.6640625" customWidth="1"/>
    <col min="2" max="3" width="21" customWidth="1"/>
    <col min="4" max="4" width="8.6640625" customWidth="1"/>
    <col min="5" max="5" width="21" customWidth="1"/>
    <col min="6" max="26" width="8.6640625" customWidth="1"/>
  </cols>
  <sheetData>
    <row r="1" spans="1:26" ht="12.7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5" customHeight="1">
      <c r="A2" s="55"/>
      <c r="B2" s="104" t="s">
        <v>154</v>
      </c>
      <c r="C2" s="104" t="s">
        <v>24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2.75" customHeight="1">
      <c r="A3" s="55"/>
      <c r="B3" s="105" t="s">
        <v>155</v>
      </c>
      <c r="C3" s="106">
        <v>54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2.75" customHeight="1">
      <c r="A4" s="55"/>
      <c r="B4" s="105" t="s">
        <v>156</v>
      </c>
      <c r="C4" s="106">
        <v>54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>
      <c r="A5" s="55"/>
      <c r="B5" s="105" t="s">
        <v>157</v>
      </c>
      <c r="C5" s="106">
        <v>79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2.75" customHeight="1">
      <c r="A6" s="55"/>
      <c r="B6" s="107" t="s">
        <v>158</v>
      </c>
      <c r="C6" s="106">
        <v>84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2.75" customHeight="1">
      <c r="A7" s="55"/>
      <c r="B7" s="105" t="s">
        <v>159</v>
      </c>
      <c r="C7" s="106">
        <v>84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>
      <c r="A8" s="55"/>
      <c r="B8" s="107" t="s">
        <v>160</v>
      </c>
      <c r="C8" s="106">
        <v>84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2.75" customHeight="1">
      <c r="A9" s="55"/>
      <c r="B9" s="105" t="s">
        <v>161</v>
      </c>
      <c r="C9" s="106">
        <v>94</v>
      </c>
      <c r="D9" s="55"/>
      <c r="E9" s="55"/>
      <c r="F9" s="108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2.75" customHeight="1">
      <c r="A10" s="55"/>
      <c r="B10" s="107" t="s">
        <v>162</v>
      </c>
      <c r="C10" s="106">
        <v>94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>
      <c r="A11" s="55"/>
      <c r="B11" s="105" t="s">
        <v>163</v>
      </c>
      <c r="C11" s="106">
        <v>99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>
      <c r="A12" s="55"/>
      <c r="B12" s="107" t="s">
        <v>164</v>
      </c>
      <c r="C12" s="106">
        <v>99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>
      <c r="A13" s="55"/>
      <c r="B13" s="105" t="s">
        <v>165</v>
      </c>
      <c r="C13" s="106">
        <v>104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>
      <c r="A14" s="55"/>
      <c r="B14" s="107" t="s">
        <v>166</v>
      </c>
      <c r="C14" s="106">
        <v>104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>
      <c r="A15" s="55"/>
      <c r="B15" s="105" t="s">
        <v>167</v>
      </c>
      <c r="C15" s="106">
        <v>104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>
      <c r="A16" s="55"/>
      <c r="B16" s="105" t="s">
        <v>168</v>
      </c>
      <c r="C16" s="106">
        <v>109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>
      <c r="A17" s="55"/>
      <c r="B17" s="107" t="s">
        <v>169</v>
      </c>
      <c r="C17" s="106">
        <v>109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>
      <c r="A18" s="55"/>
      <c r="B18" s="105" t="s">
        <v>170</v>
      </c>
      <c r="C18" s="106">
        <v>114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>
      <c r="A19" s="55"/>
      <c r="B19" s="107" t="s">
        <v>171</v>
      </c>
      <c r="C19" s="106">
        <v>114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>
      <c r="A20" s="55"/>
      <c r="B20" s="105" t="s">
        <v>172</v>
      </c>
      <c r="C20" s="106">
        <v>119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>
      <c r="A21" s="55"/>
      <c r="B21" s="105" t="s">
        <v>173</v>
      </c>
      <c r="C21" s="106">
        <v>119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>
      <c r="A22" s="55"/>
      <c r="B22" s="105" t="s">
        <v>174</v>
      </c>
      <c r="C22" s="106">
        <v>124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>
      <c r="A23" s="55"/>
      <c r="B23" s="105" t="s">
        <v>175</v>
      </c>
      <c r="C23" s="106">
        <v>129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>
      <c r="A24" s="55"/>
      <c r="B24" s="105" t="s">
        <v>176</v>
      </c>
      <c r="C24" s="106">
        <v>134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A25" s="55"/>
      <c r="B25" s="105" t="s">
        <v>177</v>
      </c>
      <c r="C25" s="106">
        <v>139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" customHeight="1">
      <c r="A27" s="55"/>
      <c r="B27" s="104" t="s">
        <v>178</v>
      </c>
      <c r="C27" s="104" t="s">
        <v>179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2.75" customHeight="1">
      <c r="A28" s="58"/>
      <c r="B28" s="109">
        <v>0</v>
      </c>
      <c r="C28" s="106">
        <v>7500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2.75" customHeight="1">
      <c r="A29" s="58"/>
      <c r="B29" s="110">
        <v>1</v>
      </c>
      <c r="C29" s="106">
        <f>+C28+2500</f>
        <v>10000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2.75" customHeight="1">
      <c r="A30" s="58"/>
      <c r="B30" s="110">
        <v>2</v>
      </c>
      <c r="C30" s="106">
        <v>13500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.75" customHeight="1">
      <c r="A31" s="58"/>
      <c r="B31" s="110">
        <v>3</v>
      </c>
      <c r="C31" s="106">
        <v>17500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2.75" customHeight="1">
      <c r="A32" s="58"/>
      <c r="B32" s="110">
        <v>4</v>
      </c>
      <c r="C32" s="106">
        <v>21500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.75" customHeight="1">
      <c r="A33" s="58"/>
      <c r="B33" s="110">
        <v>5</v>
      </c>
      <c r="C33" s="106">
        <v>25000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2.75" customHeight="1">
      <c r="A34" s="55"/>
      <c r="B34" s="110"/>
      <c r="C34" s="111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.75" customHeight="1">
      <c r="A35" s="55"/>
      <c r="B35" s="111"/>
      <c r="C35" s="111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2.7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2.7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2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2.7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2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2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2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2.7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2.7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2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2.7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2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2.7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2.7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2.7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2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2.7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2.7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2.7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2.7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2.7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2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2.7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.7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2.7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2.7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2.7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2.7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.7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2.7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2.7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2.7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2.7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2.7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2.7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2.7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2.7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2.75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2.75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2.7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2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2.75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2.7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2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2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2.7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2.7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2.7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2.7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2.7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2.7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2.7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2.7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2.7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2.7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2.75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2.75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2.75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2.75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2.75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2.75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2.7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2.75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2.75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2.7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2.7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2.7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2.7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2.7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2.7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2.75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2.75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2.75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2.75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2.75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2.75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2.75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2.75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2.75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2.75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2.7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2.7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2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2.7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2.7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2.7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2.75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2.75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2.75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2.7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2.7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2.7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2.7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2.75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2.75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2.75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2.75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2.7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2.7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2.7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2.7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2.7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2.7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2.7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2.7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2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2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2.7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2.7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2.7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2.7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2.7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2.7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2.7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2.7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2.7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2.75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2.75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2.7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2.75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2.75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2.75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2.75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2.75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2.75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2.75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2.75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2.75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2.75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2.75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2.75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2.75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2.75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2.75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2.75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2.75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2.75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2.7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2.7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2.75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2.7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2.7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2.75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2.7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2.75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2.7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2.75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2.7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2.75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2.75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2.75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2.75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2.7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2.75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2.75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2.75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2.75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2.75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2.75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2.75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2.75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2.75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2.75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2.75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2.75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2.7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2.75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2.7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2.75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2.75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2.75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2.75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2.75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2.75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2.7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2.75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2.75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2.75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2.75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2.75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2.75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2.75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2.75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2.75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2.75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2.75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2.75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2.75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2.75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2.75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2.75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2.75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2.75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2.75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2.75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2.75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2.75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2.75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2.75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2.75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2.75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2.75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2.75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2.75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2.75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2.75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2.75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2.75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2.75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2.75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2.75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2.75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2.75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2.75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2.75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2.75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2.75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2.75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2.75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2.75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2.75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2.75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2.75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2.75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2.75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2.75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2.75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2.75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2.75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2.75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2.75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2.75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2.75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2.75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2.75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2.75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2.75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2.75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2.75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2.75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2.75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2.75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2.75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2.75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2.75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2.75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2.75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2.75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2.75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2.75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2.75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2.75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2.75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2.75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2.75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2.75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2.75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2.75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2.7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2.7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2.75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2.75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2.75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2.75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2.75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2.75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2.75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2.75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2.75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2.75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2.75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2.75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2.75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2.75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2.75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2.75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2.75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2.75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2.75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2.75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2.75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2.75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2.75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2.75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2.75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2.75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2.75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2.75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2.75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2.75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2.75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2.75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2.75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2.75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2.75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2.75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2.75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2.75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2.75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2.75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2.75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2.75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2.75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2.75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2.75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2.75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2.75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2.75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2.75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2.75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2.75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2.75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2.75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2.75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2.75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2.75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2.75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2.75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2.75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2.75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2.75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2.75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2.75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2.75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2.75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2.75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2.75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2.75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2.75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2.75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2.75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2.75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2.75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2.75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2.75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2.75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2.75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2.75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2.75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2.75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2.75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2.75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2.75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2.75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2.75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2.75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2.75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2.75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2.75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2.75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2.75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2.75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2.75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2.75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2.75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2.75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2.75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2.75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2.75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2.75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2.75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2.75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2.75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2.75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2.75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2.75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2.75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2.75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2.75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2.75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2.75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2.75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2.75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2.75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2.75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2.75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2.75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2.75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2.75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2.75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2.75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2.75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2.75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2.75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2.75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2.75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2.75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2.75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2.75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2.75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2.75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2.75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2.75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2.75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2.75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2.75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2.75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2.75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2.75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2.75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2.75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2.75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2.75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2.75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2.75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2.75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2.75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2.75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2.75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2.75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2.75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2.75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2.75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2.75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2.75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2.75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2.75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2.75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2.75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2.75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2.75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2.75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2.75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2.75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2.75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2.75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2.75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2.75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2.75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2.75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2.75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2.75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2.75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2.75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2.75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2.75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2.75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2.75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2.75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2.75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2.75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2.75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2.75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2.75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2.75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2.75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2.75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2.75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2.75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2.75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2.75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2.75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2.75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2.75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2.75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2.75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2.75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2.75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2.75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2.75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2.75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2.75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2.75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2.75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2.75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2.75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2.75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2.75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2.75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2.75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2.75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2.75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2.75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2.75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2.75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2.75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2.75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2.75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2.75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2.75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2.75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2.75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2.75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2.75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2.75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2.75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2.75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2.75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2.75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2.75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2.75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2.75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2.75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2.75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2.75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2.75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2.75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2.75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2.75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2.75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2.75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2.75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2.75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2.75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2.75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2.75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2.75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2.75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2.75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2.75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2.75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2.75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2.75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2.75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2.75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2.75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2.75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2.75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2.75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2.75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2.75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2.75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2.75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2.75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2.75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2.75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2.75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2.75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2.75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2.75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2.75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2.75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2.75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2.75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2.75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2.75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2.75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2.75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2.75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2.75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2.75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2.75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2.75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2.75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2.75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2.75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2.75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2.75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2.75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2.75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2.75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2.75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2.75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2.75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2.75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2.75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2.75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2.75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2.75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2.75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2.75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2.75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2.75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2.75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2.75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2.75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2.75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2.75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2.75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2.75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2.75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2.75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2.75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2.75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2.75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2.75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2.75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2.75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2.75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2.75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2.75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2.75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2.75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2.75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2.75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2.75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2.75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2.75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2.75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2.75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2.75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2.75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2.75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2.75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2.75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2.75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2.75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2.75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2.75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2.75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2.75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2.75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2.75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2.75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2.75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2.75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2.75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2.75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2.75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2.75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2.75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2.75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2.75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2.75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2.75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2.75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2.75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2.75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2.75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2.75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2.75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2.75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2.75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2.75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2.75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2.75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2.75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2.75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2.75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2.75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2.75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2.75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2.75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2.75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2.75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2.75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2.75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2.75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2.75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2.75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2.75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2.75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2.75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2.75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2.75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2.75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2.75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2.75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2.75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2.75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2.75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2.75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2.75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2.75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2.75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2.75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2.75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2.75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2.75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2.75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2.75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2.75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2.75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2.75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2.75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2.75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2.75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2.75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2.75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2.75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2.75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2.75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2.75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2.75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2.75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2.75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2.75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2.75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2.75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2.75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2.75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2.75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2.75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2.75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2.75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2.75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2.75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2.75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2.75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2.75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2.75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2.75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2.75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2.75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2.75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2.75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2.75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2.75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2.75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2.75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2.75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2.75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2.75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2.75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2.75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2.75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2.75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2.75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2.75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2.75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2.75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2.75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2.75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2.75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2.75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2.75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2.75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2.75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2.75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2.75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2.75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2.75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2.75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2.75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2.75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2.75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2.75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2.75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2.75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2.75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2.75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2.75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2.75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2.75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2.75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2.75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2.75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2.75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2.75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2.75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2.75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2.75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2.75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2.75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2.75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2.75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2.75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2.75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2.75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2.75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2.75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2.75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2.75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2.75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2.75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2.75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2.75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2.75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2.75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2.75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2.75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2.75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2.75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2.75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2.75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2.75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2.75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2.75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2.75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2.75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2.75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2.75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2.75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2.75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2.75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2.75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2.75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2.75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2.75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2.75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2.75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2.75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2.75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2.75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2.75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2.75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2.75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2.75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2.75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2.75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2.75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2.75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2.75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2.75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2.75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2.75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2.75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2.75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2.75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2.75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2.75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2.75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2.7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2.75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2.75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2.75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2.75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2.75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2.75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2.75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2.75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2.75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2.75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2.75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2.75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2.75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2.75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2.75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2.75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2.75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2.75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2.75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2.75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2.75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2.75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2.75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2.75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2.75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2.75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2.75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2.75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2.75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2.75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2.75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2.75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2.75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2.75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2.75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2.75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2.75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2.75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2.75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2.75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2.75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2.75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2.75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2.75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2.75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2.75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2.75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2.75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2.75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2.75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2.75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2.75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2.75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2.75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2.75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2.75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2.75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2.75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2.75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2.75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2.75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2.75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2.75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2.75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2.75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2.75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2.75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2.75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2.75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2.75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2.75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2.75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2.75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2.75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2.75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2.75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2.75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2.75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2.75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2.75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2.75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2.75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2.75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2.75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2.75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2.75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2.75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2.75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2.75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2.75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2.75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2.75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2.75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2.75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2.75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2.75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2.75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2.75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2.75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2.75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2.75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2.75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2.75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2.75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2.75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2.75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2.75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2.75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2.75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2.75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2.75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2.75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2.75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2.75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2.75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2.75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2.75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2.75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2.75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2.7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2.75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2.75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2.75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2.75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2.75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2.75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2.75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2.75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2.75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2.75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2.75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2.75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2.75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2.75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2.75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2.75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2.75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2.75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2.75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2.75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2.75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2.75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2.75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2.75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2.75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2.75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2.75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2.75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2.75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2.75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2.75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2.75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Annual CFs</vt:lpstr>
      <vt:lpstr>Sensitivities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 Berastegui</cp:lastModifiedBy>
  <dcterms:created xsi:type="dcterms:W3CDTF">2025-08-07T11:05:32Z</dcterms:created>
  <dcterms:modified xsi:type="dcterms:W3CDTF">2026-01-10T20:35:53Z</dcterms:modified>
</cp:coreProperties>
</file>