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/Users/jon/Desktop/WEB FINANCIALS/"/>
    </mc:Choice>
  </mc:AlternateContent>
  <xr:revisionPtr revIDLastSave="0" documentId="13_ncr:1_{F67AF2B5-9C46-6941-ADB5-305EB09D50E8}" xr6:coauthVersionLast="47" xr6:coauthVersionMax="47" xr10:uidLastSave="{00000000-0000-0000-0000-000000000000}"/>
  <bookViews>
    <workbookView xWindow="0" yWindow="0" windowWidth="33600" windowHeight="19480" xr2:uid="{9233A30C-B790-46C5-B1BB-012CEBF3FBB7}"/>
  </bookViews>
  <sheets>
    <sheet name="P&amp;L" sheetId="22" r:id="rId1"/>
    <sheet name="Proforma" sheetId="28" r:id="rId2"/>
    <sheet name="Sensitivities" sheetId="29" r:id="rId3"/>
    <sheet name="Detailed P&amp;L" sheetId="9" r:id="rId4"/>
  </sheets>
  <externalReferences>
    <externalReference r:id="rId5"/>
  </externalReferences>
  <definedNames>
    <definedName name="Descuento">#REF!</definedName>
    <definedName name="Estatudo">#REF!</definedName>
    <definedName name="ExternoInterno">#REF!</definedName>
    <definedName name="Hora">#REF!</definedName>
    <definedName name="MarchRange">#REF!</definedName>
    <definedName name="SwissP">#REF!</definedName>
    <definedName name="Terapeuta">#REF!</definedName>
    <definedName name="Tipo">#REF!</definedName>
  </definedNames>
  <calcPr calcId="191028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1" i="28" l="1"/>
  <c r="L31" i="28"/>
  <c r="L33" i="28" s="1"/>
  <c r="E15" i="29"/>
  <c r="F6" i="29"/>
  <c r="E6" i="29"/>
  <c r="D18" i="29"/>
  <c r="D19" i="29" s="1"/>
  <c r="C18" i="29"/>
  <c r="C17" i="29"/>
  <c r="F16" i="29"/>
  <c r="G16" i="29" s="1"/>
  <c r="G15" i="29" s="1"/>
  <c r="D9" i="29"/>
  <c r="D10" i="29" s="1"/>
  <c r="C9" i="29"/>
  <c r="C8" i="29"/>
  <c r="F7" i="29"/>
  <c r="H40" i="28"/>
  <c r="I33" i="28"/>
  <c r="I34" i="28" s="1"/>
  <c r="I32" i="28"/>
  <c r="Y37" i="28" s="1"/>
  <c r="H22" i="28"/>
  <c r="G22" i="28"/>
  <c r="G40" i="28" s="1"/>
  <c r="I18" i="28"/>
  <c r="F17" i="28"/>
  <c r="F22" i="28" s="1"/>
  <c r="G7" i="28"/>
  <c r="H7" i="28" s="1"/>
  <c r="I7" i="28" s="1"/>
  <c r="J7" i="28" s="1"/>
  <c r="K7" i="28" s="1"/>
  <c r="L7" i="28" s="1"/>
  <c r="M7" i="28" s="1"/>
  <c r="N7" i="28" s="1"/>
  <c r="O7" i="28" s="1"/>
  <c r="P7" i="28" s="1"/>
  <c r="Q7" i="28" s="1"/>
  <c r="R7" i="28" s="1"/>
  <c r="S7" i="28" s="1"/>
  <c r="T7" i="28" s="1"/>
  <c r="U7" i="28" s="1"/>
  <c r="V7" i="28" s="1"/>
  <c r="W7" i="28" s="1"/>
  <c r="X7" i="28" s="1"/>
  <c r="Y7" i="28" s="1"/>
  <c r="G5" i="28"/>
  <c r="H5" i="28" s="1"/>
  <c r="I5" i="28" s="1"/>
  <c r="J5" i="28" s="1"/>
  <c r="K5" i="28" s="1"/>
  <c r="L5" i="28" s="1"/>
  <c r="M5" i="28" s="1"/>
  <c r="N5" i="28" s="1"/>
  <c r="O5" i="28" s="1"/>
  <c r="P5" i="28" s="1"/>
  <c r="Q5" i="28" s="1"/>
  <c r="R5" i="28" s="1"/>
  <c r="S5" i="28" s="1"/>
  <c r="T5" i="28" s="1"/>
  <c r="U5" i="28" s="1"/>
  <c r="V5" i="28" s="1"/>
  <c r="W5" i="28" s="1"/>
  <c r="X5" i="28" s="1"/>
  <c r="Y5" i="28" s="1"/>
  <c r="R5" i="22"/>
  <c r="R7" i="22" s="1"/>
  <c r="R4" i="22"/>
  <c r="R6" i="22" s="1"/>
  <c r="R34" i="22"/>
  <c r="R33" i="22"/>
  <c r="R32" i="22"/>
  <c r="R31" i="22"/>
  <c r="R27" i="22"/>
  <c r="R24" i="22"/>
  <c r="R21" i="22"/>
  <c r="R17" i="22"/>
  <c r="R15" i="22"/>
  <c r="R14" i="22"/>
  <c r="R23" i="22" s="1"/>
  <c r="S23" i="22" s="1"/>
  <c r="R13" i="22"/>
  <c r="R8" i="22"/>
  <c r="P5" i="22"/>
  <c r="P7" i="22" s="1"/>
  <c r="P4" i="22"/>
  <c r="P6" i="22" s="1"/>
  <c r="P34" i="22"/>
  <c r="P33" i="22"/>
  <c r="P32" i="22"/>
  <c r="P31" i="22"/>
  <c r="P27" i="22"/>
  <c r="P24" i="22"/>
  <c r="P21" i="22"/>
  <c r="P17" i="22"/>
  <c r="P15" i="22"/>
  <c r="P14" i="22"/>
  <c r="P13" i="22"/>
  <c r="P8" i="22"/>
  <c r="N5" i="22"/>
  <c r="N4" i="22"/>
  <c r="N6" i="22" s="1"/>
  <c r="AA40" i="22" s="1"/>
  <c r="N34" i="22"/>
  <c r="N33" i="22"/>
  <c r="N32" i="22"/>
  <c r="N31" i="22"/>
  <c r="N27" i="22"/>
  <c r="N24" i="22"/>
  <c r="N21" i="22"/>
  <c r="N17" i="22"/>
  <c r="N15" i="22"/>
  <c r="N14" i="22"/>
  <c r="N13" i="22"/>
  <c r="N8" i="22"/>
  <c r="N7" i="22"/>
  <c r="N9" i="22" s="1"/>
  <c r="L27" i="22"/>
  <c r="J27" i="22"/>
  <c r="H27" i="22"/>
  <c r="F27" i="22"/>
  <c r="D27" i="22"/>
  <c r="L15" i="22"/>
  <c r="J15" i="22"/>
  <c r="H15" i="22"/>
  <c r="F15" i="22"/>
  <c r="D15" i="22"/>
  <c r="L5" i="22"/>
  <c r="J5" i="22"/>
  <c r="H5" i="22"/>
  <c r="F5" i="22"/>
  <c r="D5" i="22"/>
  <c r="L4" i="22"/>
  <c r="J4" i="22"/>
  <c r="H4" i="22"/>
  <c r="F4" i="22"/>
  <c r="D4" i="22"/>
  <c r="J91" i="9"/>
  <c r="I91" i="9"/>
  <c r="G91" i="9"/>
  <c r="E91" i="9"/>
  <c r="J89" i="9"/>
  <c r="I89" i="9"/>
  <c r="G89" i="9"/>
  <c r="E89" i="9"/>
  <c r="M83" i="9"/>
  <c r="O83" i="9" s="1"/>
  <c r="Q83" i="9" s="1"/>
  <c r="S83" i="9" s="1"/>
  <c r="U83" i="9" s="1"/>
  <c r="W83" i="9" s="1"/>
  <c r="Y83" i="9" s="1"/>
  <c r="AA83" i="9" s="1"/>
  <c r="L83" i="9"/>
  <c r="J83" i="9"/>
  <c r="I83" i="9"/>
  <c r="G83" i="9"/>
  <c r="E83" i="9"/>
  <c r="J81" i="9"/>
  <c r="I81" i="9"/>
  <c r="G81" i="9"/>
  <c r="E81" i="9"/>
  <c r="L80" i="9"/>
  <c r="N80" i="9" s="1"/>
  <c r="P80" i="9" s="1"/>
  <c r="J80" i="9"/>
  <c r="I80" i="9"/>
  <c r="G80" i="9"/>
  <c r="E80" i="9"/>
  <c r="L79" i="9"/>
  <c r="N79" i="9" s="1"/>
  <c r="J79" i="9"/>
  <c r="I79" i="9"/>
  <c r="G79" i="9"/>
  <c r="E79" i="9"/>
  <c r="J76" i="9"/>
  <c r="I76" i="9"/>
  <c r="G76" i="9"/>
  <c r="E76" i="9"/>
  <c r="L75" i="9"/>
  <c r="J75" i="9"/>
  <c r="I75" i="9"/>
  <c r="G75" i="9"/>
  <c r="E75" i="9"/>
  <c r="L74" i="9"/>
  <c r="N74" i="9" s="1"/>
  <c r="P74" i="9" s="1"/>
  <c r="J74" i="9"/>
  <c r="I74" i="9"/>
  <c r="G74" i="9"/>
  <c r="E74" i="9"/>
  <c r="L70" i="9"/>
  <c r="N70" i="9" s="1"/>
  <c r="P70" i="9" s="1"/>
  <c r="R70" i="9" s="1"/>
  <c r="T70" i="9" s="1"/>
  <c r="J70" i="9"/>
  <c r="I70" i="9"/>
  <c r="G70" i="9"/>
  <c r="E70" i="9"/>
  <c r="J66" i="9"/>
  <c r="I66" i="9"/>
  <c r="G66" i="9"/>
  <c r="E66" i="9"/>
  <c r="L65" i="9"/>
  <c r="J65" i="9"/>
  <c r="I65" i="9"/>
  <c r="G65" i="9"/>
  <c r="E65" i="9"/>
  <c r="L64" i="9"/>
  <c r="N64" i="9" s="1"/>
  <c r="J64" i="9"/>
  <c r="I64" i="9"/>
  <c r="G64" i="9"/>
  <c r="E64" i="9"/>
  <c r="J61" i="9"/>
  <c r="I61" i="9"/>
  <c r="G61" i="9"/>
  <c r="E61" i="9"/>
  <c r="J59" i="9"/>
  <c r="K59" i="9" s="1"/>
  <c r="E59" i="9"/>
  <c r="L58" i="9"/>
  <c r="J58" i="9"/>
  <c r="E58" i="9"/>
  <c r="L57" i="9"/>
  <c r="L59" i="9" s="1"/>
  <c r="M59" i="9" s="1"/>
  <c r="J57" i="9"/>
  <c r="J54" i="9"/>
  <c r="K54" i="9" s="1"/>
  <c r="L53" i="9"/>
  <c r="J53" i="9"/>
  <c r="L52" i="9"/>
  <c r="N52" i="9" s="1"/>
  <c r="J52" i="9"/>
  <c r="J49" i="9"/>
  <c r="K49" i="9" s="1"/>
  <c r="G49" i="9"/>
  <c r="L48" i="9"/>
  <c r="J48" i="9"/>
  <c r="G48" i="9"/>
  <c r="L47" i="9"/>
  <c r="J47" i="9"/>
  <c r="G47" i="9"/>
  <c r="N46" i="9"/>
  <c r="P46" i="9" s="1"/>
  <c r="R46" i="9" s="1"/>
  <c r="T46" i="9" s="1"/>
  <c r="V46" i="9" s="1"/>
  <c r="X46" i="9" s="1"/>
  <c r="Z46" i="9" s="1"/>
  <c r="J46" i="9"/>
  <c r="G46" i="9"/>
  <c r="L45" i="9"/>
  <c r="J45" i="9"/>
  <c r="G45" i="9"/>
  <c r="L44" i="9"/>
  <c r="N44" i="9" s="1"/>
  <c r="J44" i="9"/>
  <c r="J41" i="9"/>
  <c r="K41" i="9" s="1"/>
  <c r="I41" i="9"/>
  <c r="G41" i="9"/>
  <c r="E41" i="9"/>
  <c r="L40" i="9"/>
  <c r="J40" i="9"/>
  <c r="I40" i="9"/>
  <c r="G40" i="9"/>
  <c r="E40" i="9"/>
  <c r="N38" i="9"/>
  <c r="P38" i="9" s="1"/>
  <c r="R38" i="9" s="1"/>
  <c r="M38" i="9"/>
  <c r="L38" i="9"/>
  <c r="J38" i="9"/>
  <c r="I38" i="9"/>
  <c r="G38" i="9"/>
  <c r="E38" i="9"/>
  <c r="L37" i="9"/>
  <c r="J37" i="9"/>
  <c r="I37" i="9"/>
  <c r="G37" i="9"/>
  <c r="E37" i="9"/>
  <c r="L33" i="9"/>
  <c r="J33" i="9"/>
  <c r="L29" i="9"/>
  <c r="J29" i="9"/>
  <c r="L27" i="9"/>
  <c r="J27" i="9"/>
  <c r="L26" i="9"/>
  <c r="J26" i="9"/>
  <c r="L25" i="9"/>
  <c r="N25" i="9" s="1"/>
  <c r="N26" i="9" s="1"/>
  <c r="N29" i="9" s="1"/>
  <c r="J25" i="9"/>
  <c r="J22" i="9"/>
  <c r="I22" i="9"/>
  <c r="G22" i="9"/>
  <c r="E22" i="9"/>
  <c r="J21" i="9"/>
  <c r="M20" i="9"/>
  <c r="O20" i="9" s="1"/>
  <c r="Q20" i="9" s="1"/>
  <c r="S20" i="9" s="1"/>
  <c r="U20" i="9" s="1"/>
  <c r="W20" i="9" s="1"/>
  <c r="Y20" i="9" s="1"/>
  <c r="AA20" i="9" s="1"/>
  <c r="L20" i="9"/>
  <c r="L21" i="9" s="1"/>
  <c r="J20" i="9"/>
  <c r="I20" i="9"/>
  <c r="G20" i="9"/>
  <c r="E20" i="9"/>
  <c r="M19" i="9"/>
  <c r="O19" i="9" s="1"/>
  <c r="L19" i="9"/>
  <c r="J19" i="9"/>
  <c r="I19" i="9"/>
  <c r="G19" i="9"/>
  <c r="E19" i="9"/>
  <c r="L18" i="9"/>
  <c r="N18" i="9" s="1"/>
  <c r="J18" i="9"/>
  <c r="I18" i="9"/>
  <c r="G18" i="9"/>
  <c r="E18" i="9"/>
  <c r="J17" i="9"/>
  <c r="J14" i="9"/>
  <c r="J13" i="9"/>
  <c r="L12" i="9"/>
  <c r="J12" i="9"/>
  <c r="L11" i="9"/>
  <c r="J11" i="9"/>
  <c r="J10" i="9"/>
  <c r="L9" i="9"/>
  <c r="N9" i="9" s="1"/>
  <c r="J9" i="9"/>
  <c r="Z8" i="9"/>
  <c r="X8" i="9"/>
  <c r="V8" i="9"/>
  <c r="T8" i="9"/>
  <c r="R8" i="9"/>
  <c r="P8" i="9"/>
  <c r="N8" i="9"/>
  <c r="L8" i="9"/>
  <c r="J8" i="9"/>
  <c r="L7" i="9"/>
  <c r="J7" i="9"/>
  <c r="L6" i="9"/>
  <c r="J6" i="9"/>
  <c r="L5" i="9"/>
  <c r="L17" i="9" s="1"/>
  <c r="J5" i="9"/>
  <c r="L4" i="9"/>
  <c r="J4" i="9"/>
  <c r="O33" i="28" l="1"/>
  <c r="O34" i="28" s="1"/>
  <c r="L34" i="28"/>
  <c r="L38" i="28" s="1"/>
  <c r="M31" i="28" s="1"/>
  <c r="F15" i="29"/>
  <c r="D11" i="29"/>
  <c r="C10" i="29"/>
  <c r="H16" i="29"/>
  <c r="H15" i="29" s="1"/>
  <c r="C19" i="29"/>
  <c r="D20" i="29"/>
  <c r="G7" i="29"/>
  <c r="G6" i="29" s="1"/>
  <c r="I35" i="28"/>
  <c r="I36" i="28" s="1"/>
  <c r="F40" i="28"/>
  <c r="F23" i="28"/>
  <c r="N35" i="22"/>
  <c r="O24" i="22"/>
  <c r="N26" i="22"/>
  <c r="O26" i="22" s="1"/>
  <c r="P23" i="22"/>
  <c r="Q23" i="22" s="1"/>
  <c r="N23" i="22"/>
  <c r="O23" i="22" s="1"/>
  <c r="R20" i="22"/>
  <c r="S20" i="22" s="1"/>
  <c r="P35" i="22"/>
  <c r="S24" i="22"/>
  <c r="Q24" i="22"/>
  <c r="Q21" i="22"/>
  <c r="S21" i="22"/>
  <c r="D26" i="22"/>
  <c r="O21" i="22"/>
  <c r="AA41" i="22"/>
  <c r="R9" i="22"/>
  <c r="R26" i="22"/>
  <c r="S26" i="22" s="1"/>
  <c r="R35" i="22"/>
  <c r="R12" i="22"/>
  <c r="S17" i="22" s="1"/>
  <c r="P12" i="22"/>
  <c r="Q17" i="22" s="1"/>
  <c r="P26" i="22"/>
  <c r="Q26" i="22" s="1"/>
  <c r="P20" i="22"/>
  <c r="Q20" i="22" s="1"/>
  <c r="P9" i="22"/>
  <c r="N12" i="22"/>
  <c r="O17" i="22" s="1"/>
  <c r="N20" i="22"/>
  <c r="O20" i="22" s="1"/>
  <c r="N27" i="9"/>
  <c r="N33" i="9" s="1"/>
  <c r="K64" i="9"/>
  <c r="M58" i="9"/>
  <c r="K18" i="9"/>
  <c r="M48" i="9"/>
  <c r="M45" i="9"/>
  <c r="L10" i="9"/>
  <c r="N45" i="9"/>
  <c r="P45" i="9" s="1"/>
  <c r="R45" i="9" s="1"/>
  <c r="K81" i="9"/>
  <c r="K38" i="9"/>
  <c r="K37" i="9"/>
  <c r="K74" i="9"/>
  <c r="L81" i="9"/>
  <c r="O38" i="9"/>
  <c r="K45" i="9"/>
  <c r="L49" i="9"/>
  <c r="M49" i="9" s="1"/>
  <c r="K89" i="9"/>
  <c r="L41" i="9"/>
  <c r="M41" i="9" s="1"/>
  <c r="M40" i="9"/>
  <c r="K79" i="9"/>
  <c r="N40" i="9"/>
  <c r="P40" i="9" s="1"/>
  <c r="N53" i="9"/>
  <c r="O53" i="9" s="1"/>
  <c r="K66" i="9"/>
  <c r="N11" i="9"/>
  <c r="P18" i="9"/>
  <c r="N65" i="9"/>
  <c r="P64" i="9"/>
  <c r="N66" i="9"/>
  <c r="T38" i="9"/>
  <c r="P44" i="9"/>
  <c r="N47" i="9"/>
  <c r="O47" i="9" s="1"/>
  <c r="N48" i="9"/>
  <c r="O48" i="9" s="1"/>
  <c r="V70" i="9"/>
  <c r="L22" i="9"/>
  <c r="M22" i="9" s="1"/>
  <c r="L14" i="9"/>
  <c r="M74" i="9" s="1"/>
  <c r="O45" i="9"/>
  <c r="R80" i="9"/>
  <c r="Q38" i="9"/>
  <c r="K75" i="9"/>
  <c r="K70" i="9"/>
  <c r="K65" i="9"/>
  <c r="K47" i="9"/>
  <c r="M53" i="9"/>
  <c r="N5" i="9"/>
  <c r="N4" i="9"/>
  <c r="N10" i="9"/>
  <c r="M47" i="9"/>
  <c r="P9" i="9"/>
  <c r="P25" i="9"/>
  <c r="K91" i="9"/>
  <c r="M18" i="9"/>
  <c r="K22" i="9"/>
  <c r="L66" i="9"/>
  <c r="K76" i="9"/>
  <c r="L76" i="9"/>
  <c r="M37" i="9"/>
  <c r="P52" i="9"/>
  <c r="P79" i="9"/>
  <c r="N81" i="9"/>
  <c r="N37" i="9"/>
  <c r="O37" i="9" s="1"/>
  <c r="O40" i="9"/>
  <c r="R74" i="9"/>
  <c r="L54" i="9"/>
  <c r="N57" i="9"/>
  <c r="O38" i="28" l="1"/>
  <c r="P31" i="28" s="1"/>
  <c r="M33" i="28"/>
  <c r="M34" i="28" s="1"/>
  <c r="C20" i="29"/>
  <c r="D21" i="29"/>
  <c r="C21" i="29" s="1"/>
  <c r="I16" i="29"/>
  <c r="I15" i="29" s="1"/>
  <c r="H7" i="29"/>
  <c r="H6" i="29" s="1"/>
  <c r="D12" i="29"/>
  <c r="C12" i="29" s="1"/>
  <c r="C11" i="29"/>
  <c r="I38" i="28"/>
  <c r="J31" i="28" s="1"/>
  <c r="J33" i="28" s="1"/>
  <c r="J34" i="28" s="1"/>
  <c r="G23" i="28"/>
  <c r="H23" i="28" s="1"/>
  <c r="F41" i="28"/>
  <c r="P11" i="22"/>
  <c r="L8" i="28" s="1"/>
  <c r="P18" i="22"/>
  <c r="P29" i="22" s="1"/>
  <c r="N18" i="22"/>
  <c r="N29" i="22" s="1"/>
  <c r="R11" i="22"/>
  <c r="M8" i="28" s="1"/>
  <c r="R18" i="22"/>
  <c r="N11" i="22"/>
  <c r="K8" i="28" s="1"/>
  <c r="M66" i="9"/>
  <c r="N54" i="9"/>
  <c r="O54" i="9" s="1"/>
  <c r="N41" i="9"/>
  <c r="O41" i="9" s="1"/>
  <c r="T45" i="9"/>
  <c r="T74" i="9"/>
  <c r="P81" i="9"/>
  <c r="R79" i="9"/>
  <c r="P4" i="9"/>
  <c r="P10" i="9"/>
  <c r="R9" i="9"/>
  <c r="M70" i="9"/>
  <c r="M65" i="9"/>
  <c r="M80" i="9"/>
  <c r="R52" i="9"/>
  <c r="P53" i="9"/>
  <c r="Q53" i="9" s="1"/>
  <c r="R64" i="9"/>
  <c r="P65" i="9"/>
  <c r="N58" i="9"/>
  <c r="O58" i="9" s="1"/>
  <c r="P57" i="9"/>
  <c r="M79" i="9"/>
  <c r="M54" i="9"/>
  <c r="L61" i="9"/>
  <c r="M76" i="9"/>
  <c r="L89" i="9"/>
  <c r="M89" i="9" s="1"/>
  <c r="R18" i="9"/>
  <c r="P11" i="9"/>
  <c r="Q40" i="9"/>
  <c r="R40" i="9"/>
  <c r="P47" i="9"/>
  <c r="Q47" i="9" s="1"/>
  <c r="R44" i="9"/>
  <c r="P48" i="9"/>
  <c r="Q48" i="9" s="1"/>
  <c r="N49" i="9"/>
  <c r="O49" i="9" s="1"/>
  <c r="T80" i="9"/>
  <c r="P26" i="9"/>
  <c r="P29" i="9" s="1"/>
  <c r="R25" i="9"/>
  <c r="P27" i="9"/>
  <c r="P33" i="9" s="1"/>
  <c r="V38" i="9"/>
  <c r="M81" i="9"/>
  <c r="N17" i="9"/>
  <c r="N6" i="9"/>
  <c r="P5" i="9"/>
  <c r="X70" i="9"/>
  <c r="M64" i="9"/>
  <c r="Q45" i="9"/>
  <c r="D17" i="22"/>
  <c r="E26" i="22" s="1"/>
  <c r="L7" i="22"/>
  <c r="J7" i="22"/>
  <c r="H7" i="22"/>
  <c r="F7" i="22"/>
  <c r="L6" i="22"/>
  <c r="J6" i="22"/>
  <c r="H6" i="22"/>
  <c r="F6" i="22"/>
  <c r="P33" i="28" l="1"/>
  <c r="P34" i="28" s="1"/>
  <c r="M11" i="28"/>
  <c r="N8" i="28"/>
  <c r="O8" i="28" s="1"/>
  <c r="M10" i="28"/>
  <c r="L10" i="28"/>
  <c r="L11" i="28"/>
  <c r="M38" i="28"/>
  <c r="N31" i="28" s="1"/>
  <c r="J38" i="28"/>
  <c r="K31" i="28" s="1"/>
  <c r="I7" i="29"/>
  <c r="I6" i="29" s="1"/>
  <c r="K10" i="28"/>
  <c r="K11" i="28"/>
  <c r="Q31" i="22"/>
  <c r="K33" i="28"/>
  <c r="K34" i="28" s="1"/>
  <c r="G41" i="28"/>
  <c r="H41" i="28" s="1"/>
  <c r="Q32" i="22"/>
  <c r="S12" i="22"/>
  <c r="Q27" i="22"/>
  <c r="O32" i="22"/>
  <c r="Q33" i="22"/>
  <c r="Q34" i="22"/>
  <c r="Q4" i="22"/>
  <c r="Q5" i="22"/>
  <c r="Q15" i="22"/>
  <c r="Q12" i="22"/>
  <c r="Q14" i="22"/>
  <c r="Q35" i="22"/>
  <c r="Q13" i="22"/>
  <c r="O18" i="22"/>
  <c r="Q18" i="22"/>
  <c r="O12" i="22"/>
  <c r="O14" i="22"/>
  <c r="O5" i="22"/>
  <c r="O34" i="22"/>
  <c r="S18" i="22"/>
  <c r="R29" i="22"/>
  <c r="S15" i="22"/>
  <c r="S31" i="22"/>
  <c r="S34" i="22"/>
  <c r="S14" i="22"/>
  <c r="S32" i="22"/>
  <c r="S27" i="22"/>
  <c r="S33" i="22"/>
  <c r="S4" i="22"/>
  <c r="S5" i="22"/>
  <c r="S13" i="22"/>
  <c r="S35" i="22"/>
  <c r="O15" i="22"/>
  <c r="O27" i="22"/>
  <c r="O31" i="22"/>
  <c r="O33" i="22"/>
  <c r="O13" i="22"/>
  <c r="O4" i="22"/>
  <c r="O35" i="22"/>
  <c r="Q29" i="22"/>
  <c r="P37" i="22"/>
  <c r="L9" i="28" s="1"/>
  <c r="O29" i="22"/>
  <c r="N37" i="22"/>
  <c r="K9" i="28" s="1"/>
  <c r="K12" i="28" s="1"/>
  <c r="N59" i="9"/>
  <c r="P49" i="9"/>
  <c r="Q49" i="9" s="1"/>
  <c r="Z70" i="9"/>
  <c r="P17" i="9"/>
  <c r="P6" i="9"/>
  <c r="R5" i="9"/>
  <c r="O59" i="9"/>
  <c r="R4" i="9"/>
  <c r="R10" i="9"/>
  <c r="T9" i="9"/>
  <c r="R48" i="9"/>
  <c r="S48" i="9" s="1"/>
  <c r="R47" i="9"/>
  <c r="S47" i="9" s="1"/>
  <c r="T44" i="9"/>
  <c r="U45" i="9" s="1"/>
  <c r="P58" i="9"/>
  <c r="Q58" i="9" s="1"/>
  <c r="R57" i="9"/>
  <c r="N20" i="9"/>
  <c r="N19" i="9"/>
  <c r="F17" i="22" s="1"/>
  <c r="F26" i="22" s="1"/>
  <c r="G26" i="22" s="1"/>
  <c r="N14" i="9"/>
  <c r="O18" i="9"/>
  <c r="R81" i="9"/>
  <c r="T79" i="9"/>
  <c r="T40" i="9"/>
  <c r="S40" i="9"/>
  <c r="X38" i="9"/>
  <c r="T64" i="9"/>
  <c r="R65" i="9"/>
  <c r="R66" i="9" s="1"/>
  <c r="P66" i="9"/>
  <c r="R26" i="9"/>
  <c r="R29" i="9" s="1"/>
  <c r="T25" i="9"/>
  <c r="R27" i="9"/>
  <c r="R33" i="9" s="1"/>
  <c r="S38" i="9"/>
  <c r="T18" i="9"/>
  <c r="R11" i="9"/>
  <c r="R53" i="9"/>
  <c r="S53" i="9" s="1"/>
  <c r="T52" i="9"/>
  <c r="R54" i="9"/>
  <c r="S54" i="9" s="1"/>
  <c r="P54" i="9"/>
  <c r="Q54" i="9" s="1"/>
  <c r="P37" i="9"/>
  <c r="V74" i="9"/>
  <c r="L91" i="9"/>
  <c r="M91" i="9" s="1"/>
  <c r="S45" i="9"/>
  <c r="V80" i="9"/>
  <c r="V45" i="9"/>
  <c r="P8" i="28" l="1"/>
  <c r="O10" i="28"/>
  <c r="O11" i="28"/>
  <c r="P38" i="28"/>
  <c r="Q31" i="28" s="1"/>
  <c r="L12" i="28"/>
  <c r="L13" i="28" s="1" a="1"/>
  <c r="L13" i="28" s="1"/>
  <c r="N10" i="28"/>
  <c r="N11" i="28"/>
  <c r="N33" i="28"/>
  <c r="N34" i="28" s="1"/>
  <c r="K13" i="28" a="1"/>
  <c r="K13" i="28" s="1"/>
  <c r="K38" i="28"/>
  <c r="Q37" i="22"/>
  <c r="O37" i="22"/>
  <c r="AA43" i="22"/>
  <c r="Q11" i="22"/>
  <c r="S29" i="22"/>
  <c r="R37" i="22"/>
  <c r="M9" i="28" s="1"/>
  <c r="S11" i="22"/>
  <c r="O11" i="22"/>
  <c r="R49" i="9"/>
  <c r="S49" i="9" s="1"/>
  <c r="P59" i="9"/>
  <c r="X74" i="9"/>
  <c r="R37" i="9"/>
  <c r="Q37" i="9"/>
  <c r="P41" i="9"/>
  <c r="Q41" i="9" s="1"/>
  <c r="P20" i="9"/>
  <c r="P19" i="9"/>
  <c r="H17" i="22" s="1"/>
  <c r="H26" i="22" s="1"/>
  <c r="I26" i="22" s="1"/>
  <c r="P14" i="9"/>
  <c r="Q66" i="9" s="1"/>
  <c r="Q18" i="9"/>
  <c r="T81" i="9"/>
  <c r="V79" i="9"/>
  <c r="T10" i="9"/>
  <c r="V9" i="9"/>
  <c r="T4" i="9"/>
  <c r="T26" i="9"/>
  <c r="T29" i="9" s="1"/>
  <c r="V25" i="9"/>
  <c r="T27" i="9"/>
  <c r="T33" i="9" s="1"/>
  <c r="U38" i="9"/>
  <c r="N75" i="9"/>
  <c r="N76" i="9" s="1"/>
  <c r="O76" i="9" s="1"/>
  <c r="N7" i="9"/>
  <c r="O80" i="9"/>
  <c r="O74" i="9"/>
  <c r="O70" i="9"/>
  <c r="N83" i="9"/>
  <c r="O64" i="9"/>
  <c r="O79" i="9"/>
  <c r="O81" i="9"/>
  <c r="N12" i="9"/>
  <c r="O65" i="9"/>
  <c r="O66" i="9"/>
  <c r="N21" i="9"/>
  <c r="N22" i="9" s="1"/>
  <c r="T5" i="9"/>
  <c r="R17" i="9"/>
  <c r="R6" i="9"/>
  <c r="Q59" i="9"/>
  <c r="T53" i="9"/>
  <c r="U53" i="9" s="1"/>
  <c r="V52" i="9"/>
  <c r="T54" i="9"/>
  <c r="U54" i="9" s="1"/>
  <c r="T57" i="9"/>
  <c r="R58" i="9"/>
  <c r="S58" i="9" s="1"/>
  <c r="X45" i="9"/>
  <c r="V64" i="9"/>
  <c r="T65" i="9"/>
  <c r="T66" i="9" s="1"/>
  <c r="Z38" i="9"/>
  <c r="T48" i="9"/>
  <c r="U48" i="9" s="1"/>
  <c r="T47" i="9"/>
  <c r="U47" i="9" s="1"/>
  <c r="V44" i="9"/>
  <c r="W45" i="9" s="1"/>
  <c r="T49" i="9"/>
  <c r="U49" i="9" s="1"/>
  <c r="X80" i="9"/>
  <c r="V18" i="9"/>
  <c r="T11" i="9"/>
  <c r="V40" i="9"/>
  <c r="U40" i="9"/>
  <c r="P11" i="28" l="1"/>
  <c r="P10" i="28"/>
  <c r="Q8" i="28"/>
  <c r="Q33" i="28"/>
  <c r="Q34" i="28" s="1"/>
  <c r="L19" i="28"/>
  <c r="L22" i="28" s="1"/>
  <c r="L14" i="28"/>
  <c r="N9" i="28"/>
  <c r="O9" i="28" s="1"/>
  <c r="M12" i="28"/>
  <c r="M13" i="28" a="1"/>
  <c r="M13" i="28" s="1"/>
  <c r="N38" i="28"/>
  <c r="K19" i="28"/>
  <c r="K22" i="28" s="1"/>
  <c r="K40" i="28" s="1"/>
  <c r="K14" i="28"/>
  <c r="AA42" i="22"/>
  <c r="S37" i="22"/>
  <c r="Z80" i="9"/>
  <c r="X64" i="9"/>
  <c r="V65" i="9"/>
  <c r="V66" i="9" s="1"/>
  <c r="R19" i="9"/>
  <c r="R14" i="9"/>
  <c r="R20" i="9"/>
  <c r="R21" i="9" s="1"/>
  <c r="R22" i="9" s="1"/>
  <c r="S22" i="9" s="1"/>
  <c r="S18" i="9"/>
  <c r="V11" i="9"/>
  <c r="X18" i="9"/>
  <c r="V5" i="9"/>
  <c r="T17" i="9"/>
  <c r="T6" i="9"/>
  <c r="O22" i="9"/>
  <c r="N61" i="9"/>
  <c r="P75" i="9"/>
  <c r="P7" i="9"/>
  <c r="Q70" i="9"/>
  <c r="P83" i="9"/>
  <c r="Q74" i="9"/>
  <c r="Q80" i="9"/>
  <c r="Q79" i="9"/>
  <c r="Q64" i="9"/>
  <c r="Q65" i="9"/>
  <c r="P12" i="9"/>
  <c r="Q81" i="9"/>
  <c r="S37" i="9"/>
  <c r="R41" i="9"/>
  <c r="S41" i="9" s="1"/>
  <c r="Z45" i="9"/>
  <c r="V26" i="9"/>
  <c r="V29" i="9" s="1"/>
  <c r="V27" i="9"/>
  <c r="V33" i="9" s="1"/>
  <c r="X25" i="9"/>
  <c r="W38" i="9"/>
  <c r="V57" i="9"/>
  <c r="T58" i="9"/>
  <c r="U58" i="9" s="1"/>
  <c r="T59" i="9"/>
  <c r="X52" i="9"/>
  <c r="V53" i="9"/>
  <c r="W53" i="9" s="1"/>
  <c r="V10" i="9"/>
  <c r="X9" i="9"/>
  <c r="V4" i="9"/>
  <c r="N89" i="9"/>
  <c r="O89" i="9" s="1"/>
  <c r="Z74" i="9"/>
  <c r="P21" i="9"/>
  <c r="P22" i="9" s="1"/>
  <c r="Q22" i="9" s="1"/>
  <c r="V47" i="9"/>
  <c r="W47" i="9" s="1"/>
  <c r="V48" i="9"/>
  <c r="W48" i="9" s="1"/>
  <c r="X44" i="9"/>
  <c r="Y45" i="9" s="1"/>
  <c r="R59" i="9"/>
  <c r="T37" i="9"/>
  <c r="X40" i="9"/>
  <c r="W40" i="9"/>
  <c r="P61" i="9"/>
  <c r="V81" i="9"/>
  <c r="X79" i="9"/>
  <c r="O12" i="28" l="1"/>
  <c r="O13" i="28" s="1" a="1"/>
  <c r="O13" i="28" s="1"/>
  <c r="P9" i="28"/>
  <c r="R8" i="28"/>
  <c r="Q10" i="28"/>
  <c r="Q11" i="28"/>
  <c r="Q38" i="28"/>
  <c r="R31" i="28" s="1"/>
  <c r="M19" i="28"/>
  <c r="M22" i="28" s="1"/>
  <c r="M40" i="28" s="1"/>
  <c r="M14" i="28"/>
  <c r="N12" i="28"/>
  <c r="N13" i="28" s="1" a="1"/>
  <c r="N13" i="28" s="1"/>
  <c r="L40" i="28"/>
  <c r="V49" i="9"/>
  <c r="W49" i="9" s="1"/>
  <c r="J17" i="22"/>
  <c r="J26" i="22" s="1"/>
  <c r="K26" i="22" s="1"/>
  <c r="X4" i="9"/>
  <c r="Z9" i="9"/>
  <c r="X10" i="9"/>
  <c r="X27" i="9"/>
  <c r="X33" i="9" s="1"/>
  <c r="Z25" i="9"/>
  <c r="X26" i="9"/>
  <c r="X29" i="9" s="1"/>
  <c r="X37" i="9" s="1"/>
  <c r="Y37" i="9" s="1"/>
  <c r="Y38" i="9"/>
  <c r="N91" i="9"/>
  <c r="O91" i="9" s="1"/>
  <c r="R7" i="9"/>
  <c r="R83" i="9"/>
  <c r="S70" i="9"/>
  <c r="S80" i="9"/>
  <c r="S74" i="9"/>
  <c r="S64" i="9"/>
  <c r="S79" i="9"/>
  <c r="S66" i="9"/>
  <c r="R12" i="9"/>
  <c r="S81" i="9"/>
  <c r="S65" i="9"/>
  <c r="U37" i="9"/>
  <c r="T41" i="9"/>
  <c r="U41" i="9" s="1"/>
  <c r="X65" i="9"/>
  <c r="X66" i="9"/>
  <c r="Z64" i="9"/>
  <c r="U59" i="9"/>
  <c r="R61" i="9"/>
  <c r="S59" i="9"/>
  <c r="V37" i="9"/>
  <c r="P76" i="9"/>
  <c r="Q76" i="9" s="1"/>
  <c r="R75" i="9"/>
  <c r="Z40" i="9"/>
  <c r="Y40" i="9"/>
  <c r="X47" i="9"/>
  <c r="Y47" i="9" s="1"/>
  <c r="Z44" i="9"/>
  <c r="AA45" i="9" s="1"/>
  <c r="X48" i="9"/>
  <c r="Y48" i="9" s="1"/>
  <c r="X53" i="9"/>
  <c r="Y53" i="9" s="1"/>
  <c r="X54" i="9"/>
  <c r="Y54" i="9" s="1"/>
  <c r="Z52" i="9"/>
  <c r="T14" i="9"/>
  <c r="T19" i="9"/>
  <c r="T20" i="9"/>
  <c r="U18" i="9"/>
  <c r="V54" i="9"/>
  <c r="W54" i="9" s="1"/>
  <c r="X5" i="9"/>
  <c r="V17" i="9"/>
  <c r="V6" i="9"/>
  <c r="X11" i="9"/>
  <c r="Z18" i="9"/>
  <c r="V58" i="9"/>
  <c r="W58" i="9" s="1"/>
  <c r="X57" i="9"/>
  <c r="Z79" i="9"/>
  <c r="X81" i="9"/>
  <c r="Q9" i="28" l="1"/>
  <c r="P12" i="28"/>
  <c r="P13" i="28" s="1" a="1"/>
  <c r="P13" i="28" s="1"/>
  <c r="R10" i="28"/>
  <c r="R11" i="28"/>
  <c r="S8" i="28"/>
  <c r="O14" i="28"/>
  <c r="O19" i="28"/>
  <c r="O22" i="28" s="1"/>
  <c r="R33" i="28"/>
  <c r="R34" i="28" s="1"/>
  <c r="R38" i="28"/>
  <c r="S31" i="28" s="1"/>
  <c r="N19" i="28"/>
  <c r="N22" i="28" s="1"/>
  <c r="N14" i="28"/>
  <c r="T21" i="9"/>
  <c r="T22" i="9" s="1"/>
  <c r="U22" i="9" s="1"/>
  <c r="L17" i="22"/>
  <c r="L26" i="22" s="1"/>
  <c r="M26" i="22" s="1"/>
  <c r="X58" i="9"/>
  <c r="Y58" i="9" s="1"/>
  <c r="Z57" i="9"/>
  <c r="Z27" i="9"/>
  <c r="Z33" i="9" s="1"/>
  <c r="Z26" i="9"/>
  <c r="Z29" i="9" s="1"/>
  <c r="Z37" i="9" s="1"/>
  <c r="AA37" i="9" s="1"/>
  <c r="AA38" i="9"/>
  <c r="Z11" i="9"/>
  <c r="Z81" i="9"/>
  <c r="W37" i="9"/>
  <c r="V41" i="9"/>
  <c r="W41" i="9" s="1"/>
  <c r="T7" i="9"/>
  <c r="T83" i="9"/>
  <c r="U70" i="9"/>
  <c r="U80" i="9"/>
  <c r="U74" i="9"/>
  <c r="U79" i="9"/>
  <c r="U64" i="9"/>
  <c r="T12" i="9"/>
  <c r="U66" i="9"/>
  <c r="U65" i="9"/>
  <c r="U81" i="9"/>
  <c r="Z53" i="9"/>
  <c r="AA53" i="9" s="1"/>
  <c r="V59" i="9"/>
  <c r="X41" i="9"/>
  <c r="Y41" i="9" s="1"/>
  <c r="X49" i="9"/>
  <c r="Y49" i="9" s="1"/>
  <c r="Z47" i="9"/>
  <c r="AA47" i="9" s="1"/>
  <c r="Z48" i="9"/>
  <c r="AA48" i="9" s="1"/>
  <c r="V14" i="9"/>
  <c r="V19" i="9"/>
  <c r="V20" i="9"/>
  <c r="V21" i="9" s="1"/>
  <c r="V22" i="9" s="1"/>
  <c r="W22" i="9" s="1"/>
  <c r="W18" i="9"/>
  <c r="Z65" i="9"/>
  <c r="Z4" i="9"/>
  <c r="Z10" i="9"/>
  <c r="Z5" i="9"/>
  <c r="X17" i="9"/>
  <c r="X6" i="9"/>
  <c r="S75" i="9"/>
  <c r="R76" i="9"/>
  <c r="S76" i="9" s="1"/>
  <c r="T75" i="9"/>
  <c r="P89" i="9"/>
  <c r="AA40" i="9"/>
  <c r="O40" i="28" l="1"/>
  <c r="S11" i="28"/>
  <c r="T8" i="28"/>
  <c r="S10" i="28"/>
  <c r="P14" i="28"/>
  <c r="P19" i="28"/>
  <c r="P22" i="28" s="1"/>
  <c r="Q12" i="28"/>
  <c r="Q13" i="28" s="1" a="1"/>
  <c r="Q13" i="28" s="1"/>
  <c r="R9" i="28"/>
  <c r="S33" i="28"/>
  <c r="S34" i="28" s="1"/>
  <c r="S38" i="28"/>
  <c r="T31" i="28" s="1"/>
  <c r="N40" i="28"/>
  <c r="T61" i="9"/>
  <c r="R89" i="9"/>
  <c r="S89" i="9" s="1"/>
  <c r="Z49" i="9"/>
  <c r="AA49" i="9" s="1"/>
  <c r="Z54" i="9"/>
  <c r="AA54" i="9" s="1"/>
  <c r="V61" i="9"/>
  <c r="W59" i="9"/>
  <c r="Q89" i="9"/>
  <c r="P91" i="9"/>
  <c r="Q91" i="9" s="1"/>
  <c r="V83" i="9"/>
  <c r="V7" i="9"/>
  <c r="W70" i="9"/>
  <c r="W74" i="9"/>
  <c r="W80" i="9"/>
  <c r="W79" i="9"/>
  <c r="W64" i="9"/>
  <c r="W66" i="9"/>
  <c r="W65" i="9"/>
  <c r="W81" i="9"/>
  <c r="V12" i="9"/>
  <c r="Z41" i="9"/>
  <c r="AA41" i="9" s="1"/>
  <c r="Z58" i="9"/>
  <c r="AA58" i="9" s="1"/>
  <c r="X14" i="9"/>
  <c r="X20" i="9"/>
  <c r="X19" i="9"/>
  <c r="Y18" i="9"/>
  <c r="R91" i="9"/>
  <c r="S91" i="9" s="1"/>
  <c r="U75" i="9"/>
  <c r="T76" i="9"/>
  <c r="U76" i="9" s="1"/>
  <c r="V75" i="9"/>
  <c r="Z17" i="9"/>
  <c r="Z6" i="9"/>
  <c r="Z66" i="9"/>
  <c r="X59" i="9"/>
  <c r="W39" i="22"/>
  <c r="X39" i="22" s="1"/>
  <c r="Y39" i="22" s="1"/>
  <c r="Z39" i="22" s="1"/>
  <c r="AA39" i="22" s="1"/>
  <c r="L8" i="22"/>
  <c r="J8" i="22"/>
  <c r="H8" i="22"/>
  <c r="F8" i="22"/>
  <c r="D8" i="22"/>
  <c r="L34" i="22"/>
  <c r="L33" i="22"/>
  <c r="L31" i="22"/>
  <c r="L24" i="22"/>
  <c r="L14" i="22"/>
  <c r="L21" i="22"/>
  <c r="L13" i="22"/>
  <c r="Z40" i="22"/>
  <c r="J34" i="22"/>
  <c r="J33" i="22"/>
  <c r="J32" i="22"/>
  <c r="J31" i="22"/>
  <c r="J24" i="22"/>
  <c r="J14" i="22"/>
  <c r="J21" i="22"/>
  <c r="J13" i="22"/>
  <c r="Y40" i="22"/>
  <c r="H34" i="22"/>
  <c r="H33" i="22"/>
  <c r="H32" i="22"/>
  <c r="H31" i="22"/>
  <c r="H24" i="22"/>
  <c r="H14" i="22"/>
  <c r="H21" i="22"/>
  <c r="H13" i="22"/>
  <c r="X40" i="22"/>
  <c r="F34" i="22"/>
  <c r="F33" i="22"/>
  <c r="F32" i="22"/>
  <c r="F31" i="22"/>
  <c r="F24" i="22"/>
  <c r="F14" i="22"/>
  <c r="F21" i="22"/>
  <c r="F13" i="22"/>
  <c r="W40" i="22"/>
  <c r="F3" i="22"/>
  <c r="H3" i="22" s="1"/>
  <c r="J3" i="22" s="1"/>
  <c r="L3" i="22" s="1"/>
  <c r="N3" i="22" s="1"/>
  <c r="P3" i="22" s="1"/>
  <c r="R3" i="22" s="1"/>
  <c r="S9" i="28" l="1"/>
  <c r="R12" i="28"/>
  <c r="R13" i="28" s="1" a="1"/>
  <c r="R13" i="28" s="1"/>
  <c r="P40" i="28"/>
  <c r="T10" i="28"/>
  <c r="T11" i="28"/>
  <c r="U8" i="28"/>
  <c r="Q14" i="28"/>
  <c r="Q19" i="28"/>
  <c r="Q22" i="28" s="1"/>
  <c r="T33" i="28"/>
  <c r="T34" i="28" s="1"/>
  <c r="T38" i="28"/>
  <c r="U31" i="28" s="1"/>
  <c r="Z59" i="9"/>
  <c r="AA59" i="9" s="1"/>
  <c r="L32" i="22"/>
  <c r="L35" i="22" s="1"/>
  <c r="T89" i="9"/>
  <c r="U89" i="9" s="1"/>
  <c r="L23" i="22"/>
  <c r="M23" i="22" s="1"/>
  <c r="T91" i="9"/>
  <c r="X21" i="9"/>
  <c r="X22" i="9" s="1"/>
  <c r="Y22" i="9" s="1"/>
  <c r="X83" i="9"/>
  <c r="X7" i="9"/>
  <c r="Y70" i="9"/>
  <c r="Y74" i="9"/>
  <c r="Y80" i="9"/>
  <c r="Y79" i="9"/>
  <c r="Y64" i="9"/>
  <c r="Y65" i="9"/>
  <c r="X12" i="9"/>
  <c r="Y66" i="9"/>
  <c r="Y81" i="9"/>
  <c r="Z20" i="9"/>
  <c r="Z19" i="9"/>
  <c r="Z14" i="9"/>
  <c r="AA66" i="9" s="1"/>
  <c r="AA18" i="9"/>
  <c r="W75" i="9"/>
  <c r="V76" i="9"/>
  <c r="X75" i="9"/>
  <c r="Y59" i="9"/>
  <c r="X61" i="9"/>
  <c r="J9" i="22"/>
  <c r="J12" i="22"/>
  <c r="J11" i="22" s="1"/>
  <c r="F12" i="22"/>
  <c r="F9" i="22"/>
  <c r="L12" i="22"/>
  <c r="L11" i="22" s="1"/>
  <c r="L9" i="22"/>
  <c r="H9" i="22"/>
  <c r="H12" i="22"/>
  <c r="F20" i="22"/>
  <c r="G20" i="22" s="1"/>
  <c r="J23" i="22"/>
  <c r="K23" i="22" s="1"/>
  <c r="Z41" i="22"/>
  <c r="X41" i="22"/>
  <c r="K21" i="22"/>
  <c r="G24" i="22"/>
  <c r="I24" i="22"/>
  <c r="Y41" i="22"/>
  <c r="M24" i="22"/>
  <c r="I21" i="22"/>
  <c r="K24" i="22"/>
  <c r="G21" i="22"/>
  <c r="M21" i="22"/>
  <c r="H23" i="22"/>
  <c r="I23" i="22" s="1"/>
  <c r="F23" i="22"/>
  <c r="G23" i="22" s="1"/>
  <c r="H35" i="22"/>
  <c r="H20" i="22"/>
  <c r="I20" i="22" s="1"/>
  <c r="J20" i="22"/>
  <c r="K20" i="22" s="1"/>
  <c r="L20" i="22"/>
  <c r="M20" i="22" s="1"/>
  <c r="J35" i="22"/>
  <c r="F35" i="22"/>
  <c r="R14" i="28" l="1"/>
  <c r="R19" i="28"/>
  <c r="R22" i="28" s="1"/>
  <c r="Q40" i="28"/>
  <c r="U11" i="28"/>
  <c r="V8" i="28"/>
  <c r="U10" i="28"/>
  <c r="T9" i="28"/>
  <c r="S12" i="28"/>
  <c r="S13" i="28" s="1" a="1"/>
  <c r="S13" i="28" s="1"/>
  <c r="U33" i="28"/>
  <c r="U34" i="28" s="1"/>
  <c r="U38" i="28"/>
  <c r="V31" i="28" s="1"/>
  <c r="K27" i="22"/>
  <c r="I8" i="28"/>
  <c r="M27" i="22"/>
  <c r="J8" i="28"/>
  <c r="I17" i="22"/>
  <c r="H11" i="22"/>
  <c r="G17" i="22"/>
  <c r="F11" i="22"/>
  <c r="Z21" i="9"/>
  <c r="Z22" i="9" s="1"/>
  <c r="Y75" i="9"/>
  <c r="X76" i="9"/>
  <c r="Y76" i="9" s="1"/>
  <c r="Z75" i="9"/>
  <c r="Z83" i="9"/>
  <c r="Z7" i="9"/>
  <c r="AA70" i="9"/>
  <c r="AA80" i="9"/>
  <c r="AA74" i="9"/>
  <c r="AA79" i="9"/>
  <c r="AA64" i="9"/>
  <c r="AA81" i="9"/>
  <c r="Z12" i="9"/>
  <c r="AA65" i="9"/>
  <c r="W76" i="9"/>
  <c r="V89" i="9"/>
  <c r="U91" i="9"/>
  <c r="J18" i="22"/>
  <c r="J29" i="22" s="1"/>
  <c r="F18" i="22"/>
  <c r="F29" i="22" s="1"/>
  <c r="L18" i="22"/>
  <c r="L29" i="22" s="1"/>
  <c r="M17" i="22"/>
  <c r="K17" i="22"/>
  <c r="H18" i="22"/>
  <c r="H29" i="22" s="1"/>
  <c r="W41" i="22"/>
  <c r="U9" i="28" l="1"/>
  <c r="T12" i="28"/>
  <c r="S14" i="28"/>
  <c r="S19" i="28"/>
  <c r="S22" i="28" s="1"/>
  <c r="S40" i="28" s="1"/>
  <c r="V11" i="28"/>
  <c r="V10" i="28"/>
  <c r="W8" i="28"/>
  <c r="T13" i="28" a="1"/>
  <c r="T13" i="28" s="1"/>
  <c r="R40" i="28"/>
  <c r="V33" i="28"/>
  <c r="V34" i="28" s="1"/>
  <c r="I10" i="28"/>
  <c r="I11" i="28"/>
  <c r="I27" i="22"/>
  <c r="H8" i="28"/>
  <c r="G27" i="22"/>
  <c r="G8" i="28"/>
  <c r="J10" i="28"/>
  <c r="J11" i="28"/>
  <c r="M4" i="22"/>
  <c r="M5" i="22"/>
  <c r="G4" i="22"/>
  <c r="G5" i="22"/>
  <c r="K4" i="22"/>
  <c r="K5" i="22"/>
  <c r="I4" i="22"/>
  <c r="I5" i="22"/>
  <c r="G35" i="22"/>
  <c r="K35" i="22"/>
  <c r="M35" i="22"/>
  <c r="X89" i="9"/>
  <c r="Y89" i="9" s="1"/>
  <c r="W89" i="9"/>
  <c r="V91" i="9"/>
  <c r="AA75" i="9"/>
  <c r="Z76" i="9"/>
  <c r="AA76" i="9" s="1"/>
  <c r="AA22" i="9"/>
  <c r="Z61" i="9"/>
  <c r="X91" i="9"/>
  <c r="G18" i="22"/>
  <c r="G34" i="22"/>
  <c r="G31" i="22"/>
  <c r="G13" i="22"/>
  <c r="G32" i="22"/>
  <c r="G14" i="22"/>
  <c r="G33" i="22"/>
  <c r="G15" i="22"/>
  <c r="I32" i="22"/>
  <c r="I15" i="22"/>
  <c r="I31" i="22"/>
  <c r="I33" i="22"/>
  <c r="I13" i="22"/>
  <c r="I14" i="22"/>
  <c r="I12" i="22"/>
  <c r="I34" i="22"/>
  <c r="I18" i="22"/>
  <c r="M18" i="22"/>
  <c r="K31" i="22"/>
  <c r="K12" i="22"/>
  <c r="K15" i="22"/>
  <c r="K33" i="22"/>
  <c r="K13" i="22"/>
  <c r="K14" i="22"/>
  <c r="K34" i="22"/>
  <c r="K32" i="22"/>
  <c r="M33" i="22"/>
  <c r="M13" i="22"/>
  <c r="M31" i="22"/>
  <c r="M15" i="22"/>
  <c r="M34" i="22"/>
  <c r="M12" i="22"/>
  <c r="M14" i="22"/>
  <c r="M32" i="22"/>
  <c r="K18" i="22"/>
  <c r="I35" i="22"/>
  <c r="G12" i="22"/>
  <c r="X8" i="28" l="1"/>
  <c r="W11" i="28"/>
  <c r="W10" i="28"/>
  <c r="T19" i="28"/>
  <c r="T22" i="28" s="1"/>
  <c r="T14" i="28"/>
  <c r="V9" i="28"/>
  <c r="U12" i="28"/>
  <c r="U13" i="28" s="1" a="1"/>
  <c r="U13" i="28" s="1"/>
  <c r="V38" i="28"/>
  <c r="W31" i="28" s="1"/>
  <c r="G11" i="28"/>
  <c r="G10" i="28"/>
  <c r="H10" i="28"/>
  <c r="H11" i="28"/>
  <c r="Y91" i="9"/>
  <c r="Z89" i="9"/>
  <c r="AA89" i="9" s="1"/>
  <c r="W91" i="9"/>
  <c r="G11" i="22"/>
  <c r="K29" i="22"/>
  <c r="J37" i="22"/>
  <c r="I9" i="28" s="1"/>
  <c r="I12" i="28" s="1"/>
  <c r="I13" i="28" s="1" a="1"/>
  <c r="I13" i="28" s="1"/>
  <c r="G29" i="22"/>
  <c r="F37" i="22"/>
  <c r="G9" i="28" s="1"/>
  <c r="G12" i="28" s="1"/>
  <c r="I29" i="22"/>
  <c r="H37" i="22"/>
  <c r="H9" i="28" s="1"/>
  <c r="H12" i="28" s="1"/>
  <c r="M11" i="22"/>
  <c r="K11" i="22"/>
  <c r="I11" i="22"/>
  <c r="M29" i="22"/>
  <c r="L37" i="22"/>
  <c r="J9" i="28" s="1"/>
  <c r="J12" i="28" s="1"/>
  <c r="D31" i="22"/>
  <c r="D34" i="22"/>
  <c r="D33" i="22"/>
  <c r="D32" i="22"/>
  <c r="D24" i="22"/>
  <c r="D14" i="22"/>
  <c r="D21" i="22"/>
  <c r="D13" i="22"/>
  <c r="U14" i="28" l="1"/>
  <c r="U19" i="28"/>
  <c r="U22" i="28" s="1"/>
  <c r="V12" i="28"/>
  <c r="W9" i="28"/>
  <c r="X11" i="28"/>
  <c r="X10" i="28"/>
  <c r="T40" i="28"/>
  <c r="V13" i="28" a="1"/>
  <c r="V13" i="28" s="1"/>
  <c r="W33" i="28"/>
  <c r="W34" i="28" s="1"/>
  <c r="H13" i="28" a="1"/>
  <c r="H13" i="28" s="1"/>
  <c r="H14" i="28" s="1"/>
  <c r="G13" i="28" a="1"/>
  <c r="G13" i="28" s="1"/>
  <c r="G14" i="28" s="1"/>
  <c r="I14" i="28"/>
  <c r="I19" i="28"/>
  <c r="I22" i="28" s="1"/>
  <c r="J13" i="28" a="1"/>
  <c r="J13" i="28" s="1"/>
  <c r="Z91" i="9"/>
  <c r="K37" i="22"/>
  <c r="Y42" i="22" s="1"/>
  <c r="Y43" i="22"/>
  <c r="M37" i="22"/>
  <c r="Z42" i="22" s="1"/>
  <c r="Z43" i="22"/>
  <c r="X43" i="22"/>
  <c r="I37" i="22"/>
  <c r="X42" i="22" s="1"/>
  <c r="G37" i="22"/>
  <c r="W42" i="22" s="1"/>
  <c r="W43" i="22"/>
  <c r="E24" i="22"/>
  <c r="D20" i="22"/>
  <c r="E21" i="22"/>
  <c r="D23" i="22"/>
  <c r="D35" i="22"/>
  <c r="V19" i="28" l="1"/>
  <c r="V22" i="28" s="1"/>
  <c r="V14" i="28"/>
  <c r="X9" i="28"/>
  <c r="X12" i="28" s="1"/>
  <c r="W12" i="28"/>
  <c r="W13" i="28" s="1" a="1"/>
  <c r="W13" i="28" s="1"/>
  <c r="U40" i="28"/>
  <c r="W38" i="28"/>
  <c r="X31" i="28" s="1"/>
  <c r="J14" i="28"/>
  <c r="J19" i="28"/>
  <c r="J22" i="28" s="1"/>
  <c r="J40" i="28" s="1"/>
  <c r="Y8" i="28"/>
  <c r="I23" i="28"/>
  <c r="I40" i="28"/>
  <c r="I41" i="28" s="1"/>
  <c r="AA91" i="9"/>
  <c r="E20" i="22"/>
  <c r="E23" i="22"/>
  <c r="W19" i="28" l="1"/>
  <c r="W22" i="28" s="1"/>
  <c r="W14" i="28"/>
  <c r="X13" i="28" a="1"/>
  <c r="X13" i="28" s="1"/>
  <c r="V40" i="28"/>
  <c r="X33" i="28"/>
  <c r="X34" i="28" s="1"/>
  <c r="J41" i="28"/>
  <c r="K41" i="28" s="1"/>
  <c r="L41" i="28" s="1"/>
  <c r="M41" i="28" s="1"/>
  <c r="N41" i="28" s="1"/>
  <c r="O41" i="28" s="1"/>
  <c r="P41" i="28" s="1"/>
  <c r="Q41" i="28" s="1"/>
  <c r="R41" i="28" s="1"/>
  <c r="J23" i="28"/>
  <c r="K23" i="28" s="1"/>
  <c r="L23" i="28" s="1"/>
  <c r="M23" i="28" s="1"/>
  <c r="N23" i="28" s="1"/>
  <c r="O23" i="28" s="1"/>
  <c r="P23" i="28" s="1"/>
  <c r="Q23" i="28" s="1"/>
  <c r="R23" i="28" s="1"/>
  <c r="S23" i="28" s="1"/>
  <c r="T23" i="28" s="1"/>
  <c r="U23" i="28" s="1"/>
  <c r="V23" i="28" s="1"/>
  <c r="Y11" i="28"/>
  <c r="Y10" i="28"/>
  <c r="X14" i="28" l="1"/>
  <c r="X19" i="28"/>
  <c r="X22" i="28" s="1"/>
  <c r="X40" i="28" s="1"/>
  <c r="W23" i="28"/>
  <c r="W40" i="28"/>
  <c r="X38" i="28"/>
  <c r="S41" i="28"/>
  <c r="Y9" i="28"/>
  <c r="Y12" i="28" s="1"/>
  <c r="Y13" i="28" s="1" a="1"/>
  <c r="Y13" i="28" s="1"/>
  <c r="X23" i="28" l="1"/>
  <c r="Y19" i="28"/>
  <c r="Y14" i="28"/>
  <c r="Y20" i="28"/>
  <c r="Y21" i="28" s="1"/>
  <c r="T41" i="28"/>
  <c r="Y22" i="28" l="1"/>
  <c r="F27" i="28" s="1"/>
  <c r="Y23" i="28" l="1"/>
  <c r="F26" i="28" s="1"/>
  <c r="F25" i="28"/>
  <c r="U41" i="28"/>
  <c r="F28" i="28" l="1"/>
  <c r="V41" i="28" l="1"/>
  <c r="W41" i="28" l="1"/>
  <c r="X41" i="28" l="1"/>
  <c r="Y31" i="28" l="1"/>
  <c r="Y33" i="28" l="1"/>
  <c r="Y34" i="28" s="1"/>
  <c r="Y40" i="28" s="1"/>
  <c r="Y38" i="28" l="1"/>
  <c r="Y41" i="28"/>
  <c r="F44" i="28" s="1"/>
  <c r="F45" i="28"/>
  <c r="D7" i="29" s="1"/>
  <c r="F43" i="28"/>
  <c r="F46" i="28" l="1"/>
  <c r="D16" i="29" s="1"/>
  <c r="D7" i="22"/>
  <c r="D6" i="22"/>
  <c r="V40" i="22" s="1"/>
  <c r="V41" i="22" l="1"/>
  <c r="D9" i="22"/>
  <c r="D12" i="22"/>
  <c r="D18" i="22" s="1"/>
  <c r="D29" i="22" s="1"/>
  <c r="E17" i="22" l="1"/>
  <c r="D11" i="22"/>
  <c r="F8" i="28" s="1"/>
  <c r="E18" i="22"/>
  <c r="F11" i="28" l="1"/>
  <c r="F10" i="28"/>
  <c r="E32" i="22"/>
  <c r="E27" i="22"/>
  <c r="E13" i="22"/>
  <c r="E5" i="22"/>
  <c r="E4" i="22"/>
  <c r="E15" i="22"/>
  <c r="E14" i="22"/>
  <c r="E31" i="22"/>
  <c r="E35" i="22"/>
  <c r="E12" i="22"/>
  <c r="E33" i="22"/>
  <c r="E34" i="22"/>
  <c r="D37" i="22"/>
  <c r="F9" i="28" s="1"/>
  <c r="F12" i="28" s="1"/>
  <c r="E29" i="22"/>
  <c r="F13" i="28" l="1" a="1"/>
  <c r="F13" i="28" s="1"/>
  <c r="F14" i="28" s="1"/>
  <c r="E11" i="22"/>
  <c r="V43" i="22"/>
  <c r="E37" i="22"/>
  <c r="V42" i="2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tc={D275E3A7-C05D-4D16-8866-1C807F8DBD0A}</author>
  </authors>
  <commentList>
    <comment ref="B6" authorId="0" shapeId="0" xr:uid="{D275E3A7-C05D-4D16-8866-1C807F8DBD0A}">
      <text>
        <t>[Threaded comment]
Your version of Excel allows you to read this threaded comment; however, any edits to it will get removed if the file is opened in a newer version of Excel. Learn more: https://go.microsoft.com/fwlink/?linkid=870924
Comment:
    FF&amp;E reserve, Insurance, Annual property taxes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K19" authorId="0" shapeId="0" xr:uid="{1975607C-584E-48DA-B0F7-BE74B492B6E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13,8%</t>
        </r>
      </text>
    </comment>
    <comment ref="K20" authorId="0" shapeId="0" xr:uid="{E94671E9-D4DF-4682-9B07-33EC6BD3128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0,5%
</t>
        </r>
      </text>
    </comment>
    <comment ref="K40" authorId="0" shapeId="0" xr:uid="{866FE585-229E-41A5-803C-C6EE491EAD1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6,7%</t>
        </r>
      </text>
    </comment>
    <comment ref="K46" authorId="0" shapeId="0" xr:uid="{88325629-E014-437D-96B9-D6022903135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15%</t>
        </r>
      </text>
    </comment>
    <comment ref="K48" authorId="0" shapeId="0" xr:uid="{91725441-1907-4E78-8ADA-BA5A78D8F1C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18%</t>
        </r>
      </text>
    </comment>
    <comment ref="K53" authorId="0" shapeId="0" xr:uid="{F8D42995-DC39-421B-A7E2-ABA7FEC607AD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70%</t>
        </r>
      </text>
    </comment>
    <comment ref="K58" authorId="0" shapeId="0" xr:uid="{B959625F-0FBD-4E15-B801-7E627DCB2FA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Can Bordoy 2023 51%.
No parking.
Revenue its commissions at 20%.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<sst xmlns="http://schemas.openxmlformats.org/spreadsheetml/2006/main" count="195" uniqueCount="151">
  <si>
    <t>GOP</t>
  </si>
  <si>
    <t>Occupancy %</t>
  </si>
  <si>
    <t>Average Room Rate</t>
  </si>
  <si>
    <t>REVPAR (Room Rev)</t>
  </si>
  <si>
    <t>TREVPAR (Total Revenue)</t>
  </si>
  <si>
    <t>Available Rooms</t>
  </si>
  <si>
    <t>Occupied Paid Rooms (W/O Comp.)</t>
  </si>
  <si>
    <t>Inhouse guest: Adulst + Children</t>
  </si>
  <si>
    <t>Total Payroll</t>
  </si>
  <si>
    <t>Payroll %</t>
  </si>
  <si>
    <t>total overheads</t>
  </si>
  <si>
    <t xml:space="preserve">ROOMS </t>
  </si>
  <si>
    <t>Revenue</t>
  </si>
  <si>
    <t>Salaries &amp; Wages</t>
  </si>
  <si>
    <t>Other Expenses</t>
  </si>
  <si>
    <t>DEPARTMENT PROFIT</t>
  </si>
  <si>
    <t xml:space="preserve">FOOD &amp; BEVERAGE </t>
  </si>
  <si>
    <t>FOOD &amp; BEVERAGE REV.</t>
  </si>
  <si>
    <t>Revenue-Food</t>
  </si>
  <si>
    <t>Revenue-Beverage</t>
  </si>
  <si>
    <t>Cost Of Sales-Food</t>
  </si>
  <si>
    <t>Cost Of Sales-Beverage</t>
  </si>
  <si>
    <t>TOTAL COST OF SALES</t>
  </si>
  <si>
    <t>SPA</t>
  </si>
  <si>
    <t>Cost Of External Staff</t>
  </si>
  <si>
    <t>Cost of Sales-SPA</t>
  </si>
  <si>
    <t>TRANSFERS</t>
  </si>
  <si>
    <t>MOD</t>
  </si>
  <si>
    <t>TOTAL OPER. DEPT. PROFIT</t>
  </si>
  <si>
    <t>ADMINISTATIVE &amp; GENERAL EXP</t>
  </si>
  <si>
    <t>Salaries, Wages &amp; Benefits</t>
  </si>
  <si>
    <t>Total Admin &amp; Gen expense</t>
  </si>
  <si>
    <t>INFORMATION EXPENSES</t>
  </si>
  <si>
    <t>Total Other Expenses</t>
  </si>
  <si>
    <t>SALES &amp; MARKETING</t>
  </si>
  <si>
    <t>Total Mark., Sales &amp; Prom exp.</t>
  </si>
  <si>
    <t>MAITENANCE &amp; REPAIRS</t>
  </si>
  <si>
    <t>Total Maintenance &amp; Repairs</t>
  </si>
  <si>
    <t>ENERGY COST</t>
  </si>
  <si>
    <t>Electricidad</t>
  </si>
  <si>
    <t>Agua</t>
  </si>
  <si>
    <t>Gas</t>
  </si>
  <si>
    <t>Total Energy cost</t>
  </si>
  <si>
    <t>TOTAL OVERHEADS</t>
  </si>
  <si>
    <t>G.O.P.</t>
  </si>
  <si>
    <t>S&amp;M</t>
  </si>
  <si>
    <t>FORECAST 2025</t>
  </si>
  <si>
    <t>%</t>
  </si>
  <si>
    <t xml:space="preserve">Total Revenue </t>
  </si>
  <si>
    <t>Cost of Rooms</t>
  </si>
  <si>
    <t>Total Expenses</t>
  </si>
  <si>
    <t>Food &amp; Beverage Other Income</t>
  </si>
  <si>
    <t>Cta Casa food</t>
  </si>
  <si>
    <t>Manutención</t>
  </si>
  <si>
    <t>Total  Sales-Food cost</t>
  </si>
  <si>
    <t>Cta Casa beverage</t>
  </si>
  <si>
    <t>Total Sales-Beverage cost</t>
  </si>
  <si>
    <t>Cost Of Sales-Minibar</t>
  </si>
  <si>
    <t>SEPTEMBER</t>
  </si>
  <si>
    <t>SON MOLI</t>
  </si>
  <si>
    <t xml:space="preserve"> REAL  2022</t>
  </si>
  <si>
    <t xml:space="preserve"> REAL 2023</t>
  </si>
  <si>
    <t>FORECAST 2024</t>
  </si>
  <si>
    <t>FORECAST 2026</t>
  </si>
  <si>
    <t>FORECAST 2027</t>
  </si>
  <si>
    <t>FORECAST 2028</t>
  </si>
  <si>
    <t>FORECAST 2029</t>
  </si>
  <si>
    <t>FORECAST 2030</t>
  </si>
  <si>
    <t>FORECAST 2031</t>
  </si>
  <si>
    <t>FORECAST 2032</t>
  </si>
  <si>
    <t>FORECAST 2033</t>
  </si>
  <si>
    <t>ADR</t>
  </si>
  <si>
    <t>not refurb</t>
  </si>
  <si>
    <t>Occupancy</t>
  </si>
  <si>
    <t>Room Rev.</t>
  </si>
  <si>
    <t>Room Dep Costs</t>
  </si>
  <si>
    <t>F&amp;B Rev.</t>
  </si>
  <si>
    <t>F&amp;B Dep. Costs</t>
  </si>
  <si>
    <t>Room Dep. Profit</t>
  </si>
  <si>
    <t>F&amp;B Dep. Profit</t>
  </si>
  <si>
    <t>SPA Rev.</t>
  </si>
  <si>
    <t>SPA Dep. Costs</t>
  </si>
  <si>
    <t>SPA Dep. Profit</t>
  </si>
  <si>
    <t>Other income</t>
  </si>
  <si>
    <t>Direct Profit</t>
  </si>
  <si>
    <t>Admin</t>
  </si>
  <si>
    <t>M&amp;R</t>
  </si>
  <si>
    <t>Energy</t>
  </si>
  <si>
    <t>EBITDA</t>
  </si>
  <si>
    <t>Profit</t>
  </si>
  <si>
    <t>IRR</t>
  </si>
  <si>
    <t>Disposal</t>
  </si>
  <si>
    <t>Drawdown</t>
  </si>
  <si>
    <t>Balance</t>
  </si>
  <si>
    <t>Year-1</t>
  </si>
  <si>
    <t>5 MONTHS</t>
  </si>
  <si>
    <t>Year-2</t>
  </si>
  <si>
    <t>Year-3</t>
  </si>
  <si>
    <t>Year-4</t>
  </si>
  <si>
    <t>Year-5</t>
  </si>
  <si>
    <t>Year-6</t>
  </si>
  <si>
    <t>Occupied Rooms</t>
  </si>
  <si>
    <t>Amount stated in € (euro)</t>
  </si>
  <si>
    <t>Total Indirect Costs</t>
  </si>
  <si>
    <t>GOP Amount (€ Thousands)</t>
  </si>
  <si>
    <t>ADR (€)</t>
  </si>
  <si>
    <t>GOP Margin %</t>
  </si>
  <si>
    <t>Margin %</t>
  </si>
  <si>
    <t>Acquisition</t>
  </si>
  <si>
    <t>Acquisition Costs</t>
  </si>
  <si>
    <t>Amortisation</t>
  </si>
  <si>
    <t>Ungeared Cash Flow</t>
  </si>
  <si>
    <t>Geared Cash Flow</t>
  </si>
  <si>
    <t>MOIC</t>
  </si>
  <si>
    <t>Occ</t>
  </si>
  <si>
    <t>Occupancy (Year-6)</t>
  </si>
  <si>
    <t>ADR (Year-6)</t>
  </si>
  <si>
    <t>º</t>
  </si>
  <si>
    <t>Other Dep. Costs</t>
  </si>
  <si>
    <t>Other Dep. Profit</t>
  </si>
  <si>
    <t>Year-7</t>
  </si>
  <si>
    <t>Year-8</t>
  </si>
  <si>
    <t xml:space="preserve">Fixed Costs </t>
  </si>
  <si>
    <t>Capital Growth</t>
  </si>
  <si>
    <t>Property Transaction Costs</t>
  </si>
  <si>
    <t>Base Fee</t>
  </si>
  <si>
    <t>Gross revenue</t>
  </si>
  <si>
    <t xml:space="preserve">Incentive Fee </t>
  </si>
  <si>
    <t>Inflation Rate</t>
  </si>
  <si>
    <t>Fixed costs (of Revenue)</t>
  </si>
  <si>
    <t>Base Fee (of Revenue)</t>
  </si>
  <si>
    <t>Incentive Fee (of GOP)</t>
  </si>
  <si>
    <t>Property Transaction Taxes</t>
  </si>
  <si>
    <t>Debt LTV</t>
  </si>
  <si>
    <t>All-in int. rate</t>
  </si>
  <si>
    <t>Peak Equity</t>
  </si>
  <si>
    <t>Debt</t>
  </si>
  <si>
    <t>Open Balance</t>
  </si>
  <si>
    <t>Interest rate due</t>
  </si>
  <si>
    <t>Interest rate paid</t>
  </si>
  <si>
    <t>Closing Balance</t>
  </si>
  <si>
    <t>Arrangement Fee due</t>
  </si>
  <si>
    <t>Arrangement Fee paid</t>
  </si>
  <si>
    <t>Arrangement Fee</t>
  </si>
  <si>
    <t>Disposal Costs</t>
  </si>
  <si>
    <t>Exit Yield</t>
  </si>
  <si>
    <t>PROFORMA - Yearly Cash Flow</t>
  </si>
  <si>
    <t>Amount stated in € (Euros)</t>
  </si>
  <si>
    <t>IRR (Geared)</t>
  </si>
  <si>
    <t>MOIC (Geared)</t>
  </si>
  <si>
    <t>Acquisition fee (legals, DD)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</si>
</sst>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_-;\-* #,##0.00_-;_-* &quot;-&quot;??_-;_-@_-"/>
    <numFmt numFmtId="165" formatCode="_-* #,##0.00\ &quot;€&quot;_-;\-* #,##0.00\ &quot;€&quot;_-;_-* &quot;-&quot;??\ &quot;€&quot;_-;_-@_-"/>
    <numFmt numFmtId="166" formatCode="#,##0.0;[Red]\-#,##0.0"/>
    <numFmt numFmtId="167" formatCode="0.0%"/>
    <numFmt numFmtId="168" formatCode="#,##0.00_ ;[Red]\-#,##0.00\ "/>
    <numFmt numFmtId="169" formatCode="&quot; &quot;* #,##0.00&quot; &quot;;&quot;-&quot;* #,##0.00&quot; &quot;;&quot; &quot;* &quot;-&quot;#&quot; &quot;;&quot; &quot;@&quot; &quot;"/>
    <numFmt numFmtId="170" formatCode="_-* #,##0.00\ &quot;kr&quot;_-;\-* #,##0.00\ &quot;kr&quot;_-;_-* &quot;-&quot;??\ &quot;kr&quot;_-;_-@_-"/>
    <numFmt numFmtId="171" formatCode="#,##0.00,,"/>
    <numFmt numFmtId="172" formatCode="#,##0.000"/>
    <numFmt numFmtId="173" formatCode="_(* #,##0_);_(* \(#,##0\);_(* &quot;-&quot;??_);_(@_)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name val="Arial"/>
      <family val="2"/>
    </font>
    <font>
      <sz val="10"/>
      <color theme="1"/>
      <name val="Calibri"/>
      <family val="2"/>
      <scheme val="minor"/>
    </font>
    <font>
      <sz val="11"/>
      <color theme="0" tint="-0.249977111117893"/>
      <name val="Calibri"/>
      <family val="2"/>
    </font>
    <font>
      <sz val="12"/>
      <name val="宋体"/>
      <charset val="134"/>
    </font>
    <font>
      <sz val="8"/>
      <color theme="1"/>
      <name val="Corbel"/>
      <family val="2"/>
    </font>
    <font>
      <sz val="8"/>
      <color rgb="FF0000FF"/>
      <name val="Corbel"/>
      <family val="2"/>
    </font>
    <font>
      <sz val="8"/>
      <color theme="0"/>
      <name val="Corbel"/>
      <family val="2"/>
    </font>
    <font>
      <b/>
      <sz val="8"/>
      <color theme="1"/>
      <name val="Corbel"/>
      <family val="2"/>
    </font>
    <font>
      <i/>
      <sz val="8"/>
      <color theme="8" tint="-0.499984740745262"/>
      <name val="Corbel"/>
      <family val="2"/>
    </font>
    <font>
      <sz val="8"/>
      <color theme="0" tint="-0.14999847407452621"/>
      <name val="Corbel"/>
      <family val="2"/>
    </font>
    <font>
      <i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206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19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0" fontId="5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0" borderId="0"/>
    <xf numFmtId="43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12" fillId="0" borderId="0" applyNumberFormat="0" applyBorder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4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" fillId="4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5" fillId="0" borderId="0"/>
    <xf numFmtId="164" fontId="2" fillId="0" borderId="0" applyFont="0" applyFill="0" applyBorder="0" applyAlignment="0" applyProtection="0"/>
    <xf numFmtId="0" fontId="2" fillId="0" borderId="0"/>
    <xf numFmtId="0" fontId="21" fillId="0" borderId="0">
      <alignment vertical="center"/>
    </xf>
  </cellStyleXfs>
  <cellXfs count="126">
    <xf numFmtId="0" fontId="0" fillId="0" borderId="0" xfId="0"/>
    <xf numFmtId="167" fontId="7" fillId="0" borderId="0" xfId="5" applyNumberFormat="1" applyFont="1" applyFill="1" applyBorder="1" applyAlignment="1">
      <alignment horizontal="center"/>
    </xf>
    <xf numFmtId="167" fontId="4" fillId="0" borderId="0" xfId="5" applyNumberFormat="1" applyFont="1" applyFill="1" applyBorder="1" applyAlignment="1">
      <alignment horizontal="center"/>
    </xf>
    <xf numFmtId="0" fontId="3" fillId="0" borderId="3" xfId="4" applyFont="1" applyBorder="1"/>
    <xf numFmtId="167" fontId="7" fillId="0" borderId="0" xfId="3" applyNumberFormat="1" applyFont="1" applyAlignment="1">
      <alignment horizontal="center"/>
    </xf>
    <xf numFmtId="167" fontId="3" fillId="0" borderId="0" xfId="3" applyNumberFormat="1" applyAlignment="1">
      <alignment horizontal="center"/>
    </xf>
    <xf numFmtId="10" fontId="3" fillId="5" borderId="12" xfId="5" applyNumberFormat="1" applyFont="1" applyFill="1" applyBorder="1" applyAlignment="1">
      <alignment horizontal="center"/>
    </xf>
    <xf numFmtId="0" fontId="3" fillId="5" borderId="13" xfId="3" applyFill="1" applyBorder="1" applyAlignment="1">
      <alignment horizontal="center"/>
    </xf>
    <xf numFmtId="2" fontId="3" fillId="5" borderId="12" xfId="3" applyNumberFormat="1" applyFill="1" applyBorder="1" applyAlignment="1">
      <alignment horizontal="center"/>
    </xf>
    <xf numFmtId="3" fontId="3" fillId="5" borderId="12" xfId="3" applyNumberFormat="1" applyFill="1" applyBorder="1" applyAlignment="1">
      <alignment horizontal="center"/>
    </xf>
    <xf numFmtId="3" fontId="3" fillId="5" borderId="13" xfId="3" applyNumberFormat="1" applyFill="1" applyBorder="1" applyAlignment="1">
      <alignment horizontal="center"/>
    </xf>
    <xf numFmtId="4" fontId="3" fillId="5" borderId="13" xfId="3" applyNumberFormat="1" applyFill="1" applyBorder="1" applyAlignment="1">
      <alignment horizontal="center"/>
    </xf>
    <xf numFmtId="9" fontId="3" fillId="5" borderId="12" xfId="5" applyFont="1" applyFill="1" applyBorder="1" applyAlignment="1">
      <alignment horizontal="center"/>
    </xf>
    <xf numFmtId="38" fontId="6" fillId="5" borderId="3" xfId="4" applyNumberFormat="1" applyFont="1" applyFill="1" applyBorder="1" applyAlignment="1">
      <alignment horizontal="center"/>
    </xf>
    <xf numFmtId="167" fontId="4" fillId="5" borderId="14" xfId="3" applyNumberFormat="1" applyFont="1" applyFill="1" applyBorder="1" applyAlignment="1">
      <alignment horizontal="center"/>
    </xf>
    <xf numFmtId="38" fontId="3" fillId="0" borderId="12" xfId="6" applyNumberFormat="1" applyFont="1" applyFill="1" applyBorder="1" applyAlignment="1">
      <alignment horizontal="center"/>
    </xf>
    <xf numFmtId="167" fontId="7" fillId="0" borderId="13" xfId="3" applyNumberFormat="1" applyFont="1" applyBorder="1" applyAlignment="1">
      <alignment horizontal="center"/>
    </xf>
    <xf numFmtId="38" fontId="3" fillId="0" borderId="12" xfId="4" applyNumberFormat="1" applyFont="1" applyBorder="1" applyAlignment="1">
      <alignment horizontal="center"/>
    </xf>
    <xf numFmtId="167" fontId="7" fillId="0" borderId="13" xfId="5" applyNumberFormat="1" applyFont="1" applyFill="1" applyBorder="1" applyAlignment="1">
      <alignment horizontal="center"/>
    </xf>
    <xf numFmtId="3" fontId="6" fillId="5" borderId="6" xfId="3" applyNumberFormat="1" applyFont="1" applyFill="1" applyBorder="1" applyAlignment="1">
      <alignment horizontal="center"/>
    </xf>
    <xf numFmtId="167" fontId="4" fillId="5" borderId="4" xfId="3" applyNumberFormat="1" applyFont="1" applyFill="1" applyBorder="1" applyAlignment="1">
      <alignment horizontal="center"/>
    </xf>
    <xf numFmtId="9" fontId="3" fillId="0" borderId="12" xfId="1" applyFont="1" applyBorder="1" applyAlignment="1">
      <alignment horizontal="center"/>
    </xf>
    <xf numFmtId="166" fontId="3" fillId="0" borderId="12" xfId="6" applyNumberFormat="1" applyFont="1" applyFill="1" applyBorder="1" applyAlignment="1">
      <alignment horizontal="center"/>
    </xf>
    <xf numFmtId="167" fontId="7" fillId="0" borderId="7" xfId="5" applyNumberFormat="1" applyFont="1" applyFill="1" applyBorder="1" applyAlignment="1">
      <alignment horizontal="center"/>
    </xf>
    <xf numFmtId="167" fontId="4" fillId="0" borderId="13" xfId="5" applyNumberFormat="1" applyFont="1" applyFill="1" applyBorder="1" applyAlignment="1">
      <alignment horizontal="center"/>
    </xf>
    <xf numFmtId="3" fontId="3" fillId="0" borderId="12" xfId="3" applyNumberFormat="1" applyBorder="1" applyAlignment="1">
      <alignment horizontal="center"/>
    </xf>
    <xf numFmtId="167" fontId="3" fillId="0" borderId="13" xfId="3" applyNumberFormat="1" applyBorder="1" applyAlignment="1">
      <alignment horizontal="center"/>
    </xf>
    <xf numFmtId="3" fontId="6" fillId="5" borderId="15" xfId="3" applyNumberFormat="1" applyFont="1" applyFill="1" applyBorder="1" applyAlignment="1">
      <alignment horizontal="center"/>
    </xf>
    <xf numFmtId="167" fontId="4" fillId="5" borderId="16" xfId="3" applyNumberFormat="1" applyFont="1" applyFill="1" applyBorder="1" applyAlignment="1">
      <alignment horizontal="center"/>
    </xf>
    <xf numFmtId="0" fontId="4" fillId="0" borderId="15" xfId="3" applyFont="1" applyBorder="1" applyAlignment="1">
      <alignment horizontal="center" vertical="center" wrapText="1"/>
    </xf>
    <xf numFmtId="167" fontId="4" fillId="0" borderId="16" xfId="3" applyNumberFormat="1" applyFont="1" applyBorder="1" applyAlignment="1">
      <alignment horizontal="center" vertical="center" wrapText="1"/>
    </xf>
    <xf numFmtId="3" fontId="6" fillId="5" borderId="8" xfId="3" applyNumberFormat="1" applyFont="1" applyFill="1" applyBorder="1" applyAlignment="1">
      <alignment horizontal="center"/>
    </xf>
    <xf numFmtId="167" fontId="4" fillId="5" borderId="17" xfId="3" applyNumberFormat="1" applyFont="1" applyFill="1" applyBorder="1" applyAlignment="1">
      <alignment horizontal="center"/>
    </xf>
    <xf numFmtId="2" fontId="3" fillId="6" borderId="12" xfId="3" applyNumberFormat="1" applyFill="1" applyBorder="1" applyAlignment="1">
      <alignment horizontal="center"/>
    </xf>
    <xf numFmtId="3" fontId="3" fillId="6" borderId="12" xfId="3" applyNumberFormat="1" applyFill="1" applyBorder="1" applyAlignment="1">
      <alignment horizontal="center"/>
    </xf>
    <xf numFmtId="3" fontId="6" fillId="6" borderId="6" xfId="3" applyNumberFormat="1" applyFont="1" applyFill="1" applyBorder="1" applyAlignment="1">
      <alignment horizontal="center"/>
    </xf>
    <xf numFmtId="0" fontId="6" fillId="7" borderId="1" xfId="3" applyFont="1" applyFill="1" applyBorder="1" applyAlignment="1">
      <alignment horizontal="center" vertical="center" wrapText="1"/>
    </xf>
    <xf numFmtId="0" fontId="6" fillId="5" borderId="1" xfId="3" applyFont="1" applyFill="1" applyBorder="1" applyAlignment="1">
      <alignment horizontal="center" vertical="center" wrapText="1"/>
    </xf>
    <xf numFmtId="0" fontId="6" fillId="5" borderId="19" xfId="3" applyFont="1" applyFill="1" applyBorder="1" applyAlignment="1">
      <alignment horizontal="center" vertical="center" wrapText="1"/>
    </xf>
    <xf numFmtId="0" fontId="6" fillId="5" borderId="20" xfId="3" applyFont="1" applyFill="1" applyBorder="1" applyAlignment="1">
      <alignment horizontal="center" vertical="center" wrapText="1"/>
    </xf>
    <xf numFmtId="0" fontId="19" fillId="0" borderId="0" xfId="0" applyFont="1"/>
    <xf numFmtId="17" fontId="4" fillId="5" borderId="2" xfId="3" applyNumberFormat="1" applyFont="1" applyFill="1" applyBorder="1" applyAlignment="1">
      <alignment horizontal="center" vertical="center" wrapText="1"/>
    </xf>
    <xf numFmtId="0" fontId="4" fillId="5" borderId="22" xfId="3" applyFont="1" applyFill="1" applyBorder="1" applyAlignment="1">
      <alignment horizontal="center" vertical="center" wrapText="1"/>
    </xf>
    <xf numFmtId="0" fontId="4" fillId="5" borderId="23" xfId="3" applyFont="1" applyFill="1" applyBorder="1" applyAlignment="1">
      <alignment horizontal="center" vertical="center" wrapText="1"/>
    </xf>
    <xf numFmtId="0" fontId="3" fillId="0" borderId="12" xfId="4" applyFont="1" applyBorder="1"/>
    <xf numFmtId="0" fontId="3" fillId="5" borderId="0" xfId="3" applyFill="1" applyAlignment="1">
      <alignment horizontal="center"/>
    </xf>
    <xf numFmtId="3" fontId="3" fillId="5" borderId="0" xfId="3" applyNumberFormat="1" applyFill="1" applyAlignment="1">
      <alignment horizontal="center"/>
    </xf>
    <xf numFmtId="4" fontId="3" fillId="5" borderId="0" xfId="3" applyNumberFormat="1" applyFill="1" applyAlignment="1">
      <alignment horizontal="center"/>
    </xf>
    <xf numFmtId="0" fontId="3" fillId="0" borderId="12" xfId="3" applyBorder="1"/>
    <xf numFmtId="0" fontId="6" fillId="0" borderId="3" xfId="4" applyFont="1" applyBorder="1"/>
    <xf numFmtId="167" fontId="4" fillId="5" borderId="24" xfId="3" applyNumberFormat="1" applyFont="1" applyFill="1" applyBorder="1" applyAlignment="1">
      <alignment horizontal="center"/>
    </xf>
    <xf numFmtId="0" fontId="6" fillId="0" borderId="12" xfId="4" applyFont="1" applyBorder="1"/>
    <xf numFmtId="167" fontId="4" fillId="5" borderId="5" xfId="3" applyNumberFormat="1" applyFont="1" applyFill="1" applyBorder="1" applyAlignment="1">
      <alignment horizontal="center"/>
    </xf>
    <xf numFmtId="168" fontId="20" fillId="2" borderId="25" xfId="0" applyNumberFormat="1" applyFont="1" applyFill="1" applyBorder="1" applyAlignment="1">
      <alignment horizontal="right"/>
    </xf>
    <xf numFmtId="168" fontId="20" fillId="2" borderId="26" xfId="0" applyNumberFormat="1" applyFont="1" applyFill="1" applyBorder="1" applyAlignment="1">
      <alignment horizontal="right"/>
    </xf>
    <xf numFmtId="168" fontId="2" fillId="2" borderId="5" xfId="0" applyNumberFormat="1" applyFont="1" applyFill="1" applyBorder="1"/>
    <xf numFmtId="0" fontId="6" fillId="8" borderId="12" xfId="4" applyFont="1" applyFill="1" applyBorder="1"/>
    <xf numFmtId="168" fontId="3" fillId="2" borderId="12" xfId="4" applyNumberFormat="1" applyFont="1" applyFill="1" applyBorder="1"/>
    <xf numFmtId="167" fontId="4" fillId="5" borderId="27" xfId="3" applyNumberFormat="1" applyFont="1" applyFill="1" applyBorder="1" applyAlignment="1">
      <alignment horizontal="center"/>
    </xf>
    <xf numFmtId="9" fontId="6" fillId="5" borderId="15" xfId="1" applyFont="1" applyFill="1" applyBorder="1" applyAlignment="1">
      <alignment horizontal="center"/>
    </xf>
    <xf numFmtId="168" fontId="6" fillId="2" borderId="10" xfId="4" applyNumberFormat="1" applyFont="1" applyFill="1" applyBorder="1"/>
    <xf numFmtId="167" fontId="4" fillId="0" borderId="27" xfId="3" applyNumberFormat="1" applyFont="1" applyBorder="1" applyAlignment="1">
      <alignment horizontal="center" vertical="center" wrapText="1"/>
    </xf>
    <xf numFmtId="167" fontId="4" fillId="5" borderId="9" xfId="3" applyNumberFormat="1" applyFont="1" applyFill="1" applyBorder="1" applyAlignment="1">
      <alignment horizontal="center"/>
    </xf>
    <xf numFmtId="3" fontId="0" fillId="0" borderId="0" xfId="0" applyNumberFormat="1"/>
    <xf numFmtId="10" fontId="0" fillId="0" borderId="0" xfId="1" applyNumberFormat="1" applyFont="1"/>
    <xf numFmtId="0" fontId="22" fillId="0" borderId="0" xfId="0" applyFont="1"/>
    <xf numFmtId="3" fontId="22" fillId="0" borderId="0" xfId="0" applyNumberFormat="1" applyFont="1"/>
    <xf numFmtId="167" fontId="22" fillId="0" borderId="0" xfId="1" applyNumberFormat="1" applyFont="1"/>
    <xf numFmtId="167" fontId="22" fillId="0" borderId="0" xfId="0" applyNumberFormat="1" applyFont="1"/>
    <xf numFmtId="3" fontId="22" fillId="0" borderId="0" xfId="0" applyNumberFormat="1" applyFont="1" applyAlignment="1">
      <alignment horizontal="center" vertical="center"/>
    </xf>
    <xf numFmtId="167" fontId="22" fillId="0" borderId="0" xfId="1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4" fontId="22" fillId="0" borderId="0" xfId="0" applyNumberFormat="1" applyFont="1"/>
    <xf numFmtId="9" fontId="22" fillId="0" borderId="0" xfId="0" applyNumberFormat="1" applyFont="1"/>
    <xf numFmtId="4" fontId="22" fillId="0" borderId="0" xfId="0" applyNumberFormat="1" applyFont="1" applyAlignment="1">
      <alignment horizontal="center" vertical="center"/>
    </xf>
    <xf numFmtId="171" fontId="22" fillId="0" borderId="0" xfId="0" applyNumberFormat="1" applyFont="1"/>
    <xf numFmtId="0" fontId="24" fillId="13" borderId="0" xfId="0" applyFont="1" applyFill="1"/>
    <xf numFmtId="3" fontId="22" fillId="0" borderId="0" xfId="0" applyNumberFormat="1" applyFont="1" applyAlignment="1">
      <alignment horizontal="center"/>
    </xf>
    <xf numFmtId="9" fontId="26" fillId="11" borderId="33" xfId="1" applyFont="1" applyFill="1" applyBorder="1"/>
    <xf numFmtId="9" fontId="26" fillId="0" borderId="0" xfId="1" applyFont="1"/>
    <xf numFmtId="0" fontId="24" fillId="13" borderId="0" xfId="0" applyFont="1" applyFill="1" applyAlignment="1">
      <alignment horizontal="center"/>
    </xf>
    <xf numFmtId="3" fontId="22" fillId="11" borderId="33" xfId="0" applyNumberFormat="1" applyFont="1" applyFill="1" applyBorder="1" applyAlignment="1">
      <alignment horizontal="center"/>
    </xf>
    <xf numFmtId="9" fontId="22" fillId="11" borderId="33" xfId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10" fontId="22" fillId="0" borderId="0" xfId="1" applyNumberFormat="1" applyFont="1"/>
    <xf numFmtId="9" fontId="22" fillId="0" borderId="0" xfId="1" applyFont="1" applyAlignment="1">
      <alignment horizontal="center" vertical="center"/>
    </xf>
    <xf numFmtId="3" fontId="22" fillId="11" borderId="33" xfId="0" applyNumberFormat="1" applyFont="1" applyFill="1" applyBorder="1" applyAlignment="1">
      <alignment horizontal="center" vertical="center"/>
    </xf>
    <xf numFmtId="167" fontId="22" fillId="11" borderId="33" xfId="1" applyNumberFormat="1" applyFont="1" applyFill="1" applyBorder="1" applyAlignment="1">
      <alignment horizontal="center" vertical="center"/>
    </xf>
    <xf numFmtId="9" fontId="22" fillId="11" borderId="33" xfId="1" applyFont="1" applyFill="1" applyBorder="1" applyAlignment="1">
      <alignment horizontal="center" vertical="center"/>
    </xf>
    <xf numFmtId="167" fontId="22" fillId="0" borderId="11" xfId="1" applyNumberFormat="1" applyFont="1" applyBorder="1" applyAlignment="1">
      <alignment horizontal="center" vertical="center"/>
    </xf>
    <xf numFmtId="167" fontId="27" fillId="11" borderId="33" xfId="1" applyNumberFormat="1" applyFont="1" applyFill="1" applyBorder="1" applyAlignment="1">
      <alignment horizontal="center" vertical="center"/>
    </xf>
    <xf numFmtId="167" fontId="24" fillId="12" borderId="33" xfId="1" applyNumberFormat="1" applyFont="1" applyFill="1" applyBorder="1" applyAlignment="1">
      <alignment horizontal="center" vertical="center"/>
    </xf>
    <xf numFmtId="167" fontId="24" fillId="12" borderId="33" xfId="1" applyNumberFormat="1" applyFont="1" applyFill="1" applyBorder="1" applyAlignment="1">
      <alignment horizontal="left" vertical="center"/>
    </xf>
    <xf numFmtId="4" fontId="22" fillId="0" borderId="0" xfId="1" applyNumberFormat="1" applyFont="1" applyAlignment="1">
      <alignment horizontal="center" vertical="center"/>
    </xf>
    <xf numFmtId="4" fontId="22" fillId="0" borderId="11" xfId="1" applyNumberFormat="1" applyFont="1" applyBorder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0" fontId="22" fillId="0" borderId="0" xfId="0" applyFont="1" applyAlignment="1">
      <alignment horizontal="left"/>
    </xf>
    <xf numFmtId="0" fontId="24" fillId="13" borderId="0" xfId="0" applyFont="1" applyFill="1" applyAlignment="1">
      <alignment horizontal="left" vertical="center"/>
    </xf>
    <xf numFmtId="0" fontId="24" fillId="13" borderId="0" xfId="0" applyFont="1" applyFill="1" applyAlignment="1">
      <alignment horizontal="left"/>
    </xf>
    <xf numFmtId="167" fontId="26" fillId="11" borderId="33" xfId="1" applyNumberFormat="1" applyFont="1" applyFill="1" applyBorder="1"/>
    <xf numFmtId="172" fontId="22" fillId="0" borderId="0" xfId="0" applyNumberFormat="1" applyFont="1"/>
    <xf numFmtId="10" fontId="23" fillId="9" borderId="34" xfId="0" applyNumberFormat="1" applyFont="1" applyFill="1" applyBorder="1"/>
    <xf numFmtId="3" fontId="25" fillId="10" borderId="31" xfId="0" applyNumberFormat="1" applyFont="1" applyFill="1" applyBorder="1"/>
    <xf numFmtId="3" fontId="25" fillId="10" borderId="29" xfId="0" applyNumberFormat="1" applyFont="1" applyFill="1" applyBorder="1"/>
    <xf numFmtId="167" fontId="25" fillId="10" borderId="29" xfId="0" applyNumberFormat="1" applyFont="1" applyFill="1" applyBorder="1"/>
    <xf numFmtId="4" fontId="25" fillId="10" borderId="28" xfId="0" applyNumberFormat="1" applyFont="1" applyFill="1" applyBorder="1"/>
    <xf numFmtId="0" fontId="25" fillId="10" borderId="25" xfId="0" applyFont="1" applyFill="1" applyBorder="1"/>
    <xf numFmtId="0" fontId="25" fillId="10" borderId="32" xfId="0" applyFont="1" applyFill="1" applyBorder="1"/>
    <xf numFmtId="0" fontId="25" fillId="10" borderId="26" xfId="0" applyFont="1" applyFill="1" applyBorder="1"/>
    <xf numFmtId="173" fontId="22" fillId="11" borderId="33" xfId="0" applyNumberFormat="1" applyFont="1" applyFill="1" applyBorder="1" applyAlignment="1">
      <alignment horizontal="center" vertical="center"/>
    </xf>
    <xf numFmtId="173" fontId="22" fillId="11" borderId="33" xfId="0" applyNumberFormat="1" applyFont="1" applyFill="1" applyBorder="1" applyAlignment="1">
      <alignment horizontal="center"/>
    </xf>
    <xf numFmtId="173" fontId="22" fillId="10" borderId="33" xfId="0" applyNumberFormat="1" applyFont="1" applyFill="1" applyBorder="1" applyAlignment="1">
      <alignment horizontal="center"/>
    </xf>
    <xf numFmtId="173" fontId="22" fillId="0" borderId="0" xfId="0" applyNumberFormat="1" applyFont="1"/>
    <xf numFmtId="0" fontId="28" fillId="0" borderId="0" xfId="0" applyFont="1"/>
    <xf numFmtId="0" fontId="29" fillId="0" borderId="35" xfId="0" applyFont="1" applyBorder="1"/>
    <xf numFmtId="0" fontId="0" fillId="0" borderId="35" xfId="0" applyBorder="1"/>
    <xf numFmtId="0" fontId="23" fillId="9" borderId="25" xfId="0" applyFont="1" applyFill="1" applyBorder="1"/>
    <xf numFmtId="0" fontId="23" fillId="9" borderId="27" xfId="0" applyFont="1" applyFill="1" applyBorder="1"/>
    <xf numFmtId="9" fontId="23" fillId="9" borderId="31" xfId="1" applyFont="1" applyFill="1" applyBorder="1" applyAlignment="1">
      <alignment horizontal="center" vertical="center"/>
    </xf>
    <xf numFmtId="0" fontId="23" fillId="9" borderId="26" xfId="0" applyFont="1" applyFill="1" applyBorder="1"/>
    <xf numFmtId="0" fontId="23" fillId="9" borderId="30" xfId="0" applyFont="1" applyFill="1" applyBorder="1"/>
    <xf numFmtId="9" fontId="23" fillId="9" borderId="28" xfId="1" applyFont="1" applyFill="1" applyBorder="1" applyAlignment="1">
      <alignment horizontal="center" vertical="center"/>
    </xf>
    <xf numFmtId="3" fontId="24" fillId="12" borderId="0" xfId="0" applyNumberFormat="1" applyFont="1" applyFill="1" applyAlignment="1">
      <alignment horizontal="center" vertical="center" textRotation="90" wrapText="1"/>
    </xf>
    <xf numFmtId="3" fontId="24" fillId="12" borderId="0" xfId="0" applyNumberFormat="1" applyFont="1" applyFill="1" applyAlignment="1">
      <alignment horizontal="center" vertical="center"/>
    </xf>
    <xf numFmtId="0" fontId="18" fillId="0" borderId="18" xfId="3" applyFont="1" applyBorder="1" applyAlignment="1">
      <alignment horizontal="center" vertical="center"/>
    </xf>
    <xf numFmtId="0" fontId="18" fillId="0" borderId="21" xfId="3" applyFont="1" applyBorder="1" applyAlignment="1">
      <alignment horizontal="center" vertical="center"/>
    </xf>
  </cellXfs>
  <cellStyles count="119">
    <cellStyle name="20% - Énfasis3 2" xfId="45" xr:uid="{EDBC95A7-F0AF-4300-9E04-46C4EC046F75}"/>
    <cellStyle name="20% - Énfasis3 3" xfId="57" xr:uid="{C1FAC57C-B2B8-4AC2-823A-3A03F1E1BD2B}"/>
    <cellStyle name="20% - Énfasis3 4" xfId="68" xr:uid="{3A1F3FEB-80B3-4719-A6EE-1D5B3CF3C6C7}"/>
    <cellStyle name="20% - Énfasis3 5" xfId="92" xr:uid="{B406A00D-B014-4811-B1D1-0F68AA7BB7E8}"/>
    <cellStyle name="20% - Énfasis3 6" xfId="104" xr:uid="{8F7E02FA-D8A9-484E-82EF-745B2EFBBF09}"/>
    <cellStyle name="40% - Énfasis3 2" xfId="47" xr:uid="{ACCE8709-635F-42B3-A24E-67FAC0F303C7}"/>
    <cellStyle name="40% - Énfasis3 3" xfId="59" xr:uid="{621B1E2F-59E2-4E03-9152-D9805D540C97}"/>
    <cellStyle name="40% - Énfasis3 4" xfId="70" xr:uid="{4A0780B3-2BCA-4F60-983D-0537643055F2}"/>
    <cellStyle name="40% - Énfasis3 5" xfId="94" xr:uid="{40DCC1F4-8018-400A-AD7F-E382A33E0FB3}"/>
    <cellStyle name="40% - Énfasis3 6" xfId="106" xr:uid="{814AB6DC-6B2A-4F88-8280-D6818F8B6AFD}"/>
    <cellStyle name="Comma 10" xfId="79" xr:uid="{EBFD4BA8-EC63-4DC2-9C17-14A1F3587094}"/>
    <cellStyle name="Comma 2" xfId="23" xr:uid="{E2CCDD8D-4E72-45BD-A725-9596618DB0DA}"/>
    <cellStyle name="Comma 2 2" xfId="31" xr:uid="{8E20D174-8BFE-47FA-9C7C-E64451A2F496}"/>
    <cellStyle name="Comma 3" xfId="27" xr:uid="{D83C3531-1F5D-4D99-99BC-9CBA56ECEB92}"/>
    <cellStyle name="Comma 4" xfId="36" xr:uid="{1782F3A8-70B6-4E99-90CF-CBC8BD9DCADB}"/>
    <cellStyle name="Currency 2" xfId="24" xr:uid="{C5BB8346-D0C8-4304-B577-B30693039644}"/>
    <cellStyle name="Hipervínculo 2" xfId="9" xr:uid="{22BA11F8-544B-480E-9E59-73ABF782AF37}"/>
    <cellStyle name="Hipervínculo 2 2" xfId="76" xr:uid="{6406DE28-5E8F-4F2E-A9A7-4C18F3252D6D}"/>
    <cellStyle name="Hipervínculo 3" xfId="73" xr:uid="{2EE216EB-C59F-4C0E-A70A-20D85EC9615D}"/>
    <cellStyle name="Millares 10" xfId="69" xr:uid="{DDEC896D-4767-4CBF-A826-467AC2492CEF}"/>
    <cellStyle name="Millares 11" xfId="77" xr:uid="{836C3220-EC67-458E-A87A-935AE43E22A7}"/>
    <cellStyle name="Millares 12" xfId="83" xr:uid="{32630518-1127-4FD5-B025-D0857B99A494}"/>
    <cellStyle name="Millares 13" xfId="89" xr:uid="{5FBDBA3B-EC84-4779-8FC7-194A587EB7AE}"/>
    <cellStyle name="Millares 14" xfId="93" xr:uid="{4AA00DDD-0082-48EE-B1AE-D909FA3EA4F5}"/>
    <cellStyle name="Millares 15" xfId="99" xr:uid="{18B50EF5-85EC-435D-83C8-345BBC982AFA}"/>
    <cellStyle name="Millares 16" xfId="105" xr:uid="{C1DEDD3F-95BF-437D-93B6-59912C70F933}"/>
    <cellStyle name="Millares 17" xfId="112" xr:uid="{20602B44-190E-4D35-8BBB-F480F913412C}"/>
    <cellStyle name="Millares 2" xfId="6" xr:uid="{88F04F6B-0176-437B-B9C3-D62837BE3F33}"/>
    <cellStyle name="Millares 2 2" xfId="17" xr:uid="{4028E97B-F8DD-4ADE-812E-9EAA1A9A8F5C}"/>
    <cellStyle name="Millares 2 3" xfId="49" xr:uid="{22748712-0481-4670-BDA6-37A37EFDB3CA}"/>
    <cellStyle name="Millares 2 4" xfId="86" xr:uid="{D6FC3B0F-A174-4405-A473-663F908B3BE7}"/>
    <cellStyle name="Millares 2 5" xfId="13" xr:uid="{0CEEEC20-5394-4365-869C-0E718E5F24B4}"/>
    <cellStyle name="Millares 3" xfId="8" xr:uid="{AF27CFB3-D299-4B47-B195-9AD8728E777C}"/>
    <cellStyle name="Millares 3 2" xfId="19" xr:uid="{026D0BBA-E804-4583-92DE-0366017A4122}"/>
    <cellStyle name="Millares 4" xfId="41" xr:uid="{9C433DC3-80EA-47F4-9BBA-A2BCF581358A}"/>
    <cellStyle name="Millares 5" xfId="46" xr:uid="{D5CA9E2D-EDA8-406E-9290-858A2A69322F}"/>
    <cellStyle name="Millares 6" xfId="52" xr:uid="{F3C561B4-0A4B-4D4A-93E5-E60993BD4460}"/>
    <cellStyle name="Millares 6 2" xfId="116" xr:uid="{B86B2F01-22E2-4C90-8B10-46B7DC66A5A9}"/>
    <cellStyle name="Millares 7" xfId="54" xr:uid="{8CBE5DD6-5B5B-4B1D-9471-C25471AB24B5}"/>
    <cellStyle name="Millares 8" xfId="58" xr:uid="{239C3C74-65F5-471B-80CC-B58EF030C3D3}"/>
    <cellStyle name="Millares 9" xfId="64" xr:uid="{0C0F996E-7FEF-43F1-9F4B-90DF0BB67EAF}"/>
    <cellStyle name="Moneda 2" xfId="40" xr:uid="{6B8F0123-6C71-4A24-BBA5-7804C76E7B58}"/>
    <cellStyle name="Moneda 2 10" xfId="98" xr:uid="{C5460B8A-99A1-49F8-B6B7-DAE297095394}"/>
    <cellStyle name="Moneda 2 11" xfId="103" xr:uid="{5EFFA425-4C0D-41E3-86B9-72B09156BB0E}"/>
    <cellStyle name="Moneda 2 12" xfId="111" xr:uid="{59603724-AF04-47C8-BEA1-421770DA271B}"/>
    <cellStyle name="Moneda 2 2" xfId="44" xr:uid="{0E4A0AB7-D8B2-40BB-8078-1DA85A4D4217}"/>
    <cellStyle name="Moneda 2 3" xfId="51" xr:uid="{B609F352-3C9E-4B87-B0A7-B52556299ACE}"/>
    <cellStyle name="Moneda 2 4" xfId="56" xr:uid="{26E2F193-2FFE-4161-9302-D8F0B79198A0}"/>
    <cellStyle name="Moneda 2 5" xfId="63" xr:uid="{77B96E0A-CB55-4C74-A722-BD7E7F07695D}"/>
    <cellStyle name="Moneda 2 6" xfId="67" xr:uid="{1760A034-AE4D-4A33-95BE-C5359D862DDA}"/>
    <cellStyle name="Moneda 2 7" xfId="82" xr:uid="{1F72BA20-AEF2-4705-AB11-728A139F9816}"/>
    <cellStyle name="Moneda 2 8" xfId="88" xr:uid="{7904AD1E-5569-48E8-9639-65A5729393BB}"/>
    <cellStyle name="Moneda 2 9" xfId="91" xr:uid="{7DE669D5-1129-47EA-964C-857B8BEC260C}"/>
    <cellStyle name="Moneda 3" xfId="11" xr:uid="{CAA1EC7C-0FC5-45F7-9838-04FCA0339D7E}"/>
    <cellStyle name="Normal" xfId="0" builtinId="0"/>
    <cellStyle name="Normal 10" xfId="33" xr:uid="{3B0C999D-2B3D-4534-9068-5ACF8161F4B7}"/>
    <cellStyle name="Normal 11" xfId="34" xr:uid="{E0B30423-DE69-4A13-84DE-B2E97FB193D2}"/>
    <cellStyle name="Normal 12" xfId="35" xr:uid="{71D96214-D8B3-4C5A-B835-08C234D3715A}"/>
    <cellStyle name="Normal 13" xfId="38" xr:uid="{00D0B761-24B8-4D50-9A9F-3FCC6306C757}"/>
    <cellStyle name="Normal 14" xfId="39" xr:uid="{57DC8096-2AF3-4A0A-928D-764F723E6002}"/>
    <cellStyle name="Normal 15" xfId="43" xr:uid="{328D24EB-5666-4C4B-8033-0D8CC66561F1}"/>
    <cellStyle name="Normal 16" xfId="50" xr:uid="{6C2D7EAD-611F-436D-A6FC-9BD34A99EFEA}"/>
    <cellStyle name="Normal 16 2" xfId="117" xr:uid="{B5CE1E86-E4D9-4426-9632-16E80D0F6293}"/>
    <cellStyle name="Normal 17" xfId="55" xr:uid="{60AD3E37-E7D1-4EA2-B43F-CA6AE982E6B5}"/>
    <cellStyle name="Normal 18" xfId="61" xr:uid="{F9AE49E4-A89F-4BCF-977B-08AE1AEF2843}"/>
    <cellStyle name="Normal 19" xfId="62" xr:uid="{9906CBAA-14E9-44B2-A16C-6F7197832421}"/>
    <cellStyle name="Normal 19 2" xfId="109" xr:uid="{105B564A-B9AB-4AC5-91C6-1BCE18A8D93C}"/>
    <cellStyle name="Normal 2" xfId="7" xr:uid="{84D5DD7C-54B4-4CF5-8355-B3908F4E7096}"/>
    <cellStyle name="Normal 2 2" xfId="16" xr:uid="{EEC6C4A0-CB1D-477D-BC26-385E7EF99F30}"/>
    <cellStyle name="Normal 2 3" xfId="29" xr:uid="{AC0E3A0D-0486-4CE0-ADDC-6652EC9652AA}"/>
    <cellStyle name="Normal 2 4" xfId="75" xr:uid="{675E895F-7B7D-45DB-89CE-12122DF8CB6D}"/>
    <cellStyle name="Normal 2 5" xfId="80" xr:uid="{38E1F281-90FE-416B-B0EE-6B6C7C9DE2D2}"/>
    <cellStyle name="Normal 2 6" xfId="12" xr:uid="{50ADDAB6-F1C9-4EDD-A4D3-D66C6C60186B}"/>
    <cellStyle name="Normal 2 7" xfId="115" xr:uid="{4926C4B5-C747-46C6-BB56-7AF79CE35703}"/>
    <cellStyle name="Normal 20" xfId="66" xr:uid="{6DC5B870-6561-4D48-B4B3-1D2F5EDFC0CD}"/>
    <cellStyle name="Normal 21" xfId="72" xr:uid="{C2C25D96-5ABD-40A0-9BE1-A41E9400AEDA}"/>
    <cellStyle name="Normal 22" xfId="81" xr:uid="{C5AEA86C-562F-4307-ADFB-FBC6029E9A65}"/>
    <cellStyle name="Normal 23" xfId="85" xr:uid="{3ED685D7-1612-4A88-A960-50004C513C69}"/>
    <cellStyle name="Normal 24" xfId="90" xr:uid="{7955B585-649E-4BCE-88FC-D647B7CED626}"/>
    <cellStyle name="Normal 25" xfId="96" xr:uid="{6F3A7D19-7DFC-49F5-9DAA-49EE5338CFE2}"/>
    <cellStyle name="Normal 26" xfId="97" xr:uid="{77449385-0E29-4520-B524-0599C0C394FE}"/>
    <cellStyle name="Normal 27" xfId="101" xr:uid="{8F1F45D2-DCF2-4763-B52B-464510527642}"/>
    <cellStyle name="Normal 28" xfId="102" xr:uid="{DAD64CBC-941E-429A-A5D3-2D456F609549}"/>
    <cellStyle name="Normal 29" xfId="108" xr:uid="{C640AE41-A0EE-4735-838B-FA5442A835FB}"/>
    <cellStyle name="Normal 3" xfId="14" xr:uid="{457BA9CE-5BE1-4EAD-A2AC-279576D7CB35}"/>
    <cellStyle name="Normal 30" xfId="110" xr:uid="{0C5B3D92-418F-401D-9B32-D89BB5D89CDF}"/>
    <cellStyle name="Normal 31" xfId="114" xr:uid="{84F9E783-EB4F-4134-AEA4-F0D0F97675B6}"/>
    <cellStyle name="Normal 32" xfId="118" xr:uid="{9E720634-A37D-4B6B-A3BB-3486B5756B52}"/>
    <cellStyle name="Normal 4" xfId="18" xr:uid="{B0836175-78E8-4EA1-9A37-BC073A0A5E7C}"/>
    <cellStyle name="Normal 5" xfId="20" xr:uid="{4BA12D14-3E31-4EAA-A4A4-53EC563E111A}"/>
    <cellStyle name="Normal 6" xfId="21" xr:uid="{B9C0FF5E-179A-4D9C-8B25-A2551E273D60}"/>
    <cellStyle name="Normal 7" xfId="2" xr:uid="{45A077F1-ECEB-4339-B0D3-A2CE071F2683}"/>
    <cellStyle name="Normal 8" xfId="22" xr:uid="{7CDA2CF2-9E1A-43AF-AF5D-96D51249A77F}"/>
    <cellStyle name="Normal 9" xfId="26" xr:uid="{E1B5B8F0-DBA4-4F22-BC0E-9816A03C8DCC}"/>
    <cellStyle name="Normal_P&amp;L Rooms Seg " xfId="3" xr:uid="{6517F8AE-825D-4DC1-B97B-5F042E57DB08}"/>
    <cellStyle name="Normal_QNH Group MTD and YTD reports Sep 2011" xfId="4" xr:uid="{2E578166-F4E6-4264-BEB9-C2797C646C68}"/>
    <cellStyle name="Percent" xfId="1" builtinId="5"/>
    <cellStyle name="Percent 10" xfId="78" xr:uid="{6DF40D67-8C3C-4663-AD83-BDBFE7BCF841}"/>
    <cellStyle name="Percent 2" xfId="25" xr:uid="{D67407B0-25AD-4AB3-B874-A68CD3D2719D}"/>
    <cellStyle name="Percent 2 2" xfId="30" xr:uid="{9CD706EE-6AC2-4C54-8866-7E4E5F9BB512}"/>
    <cellStyle name="Percent 3" xfId="28" xr:uid="{67D23071-6BF2-422B-8754-AD3EBB57D759}"/>
    <cellStyle name="Percent 4" xfId="37" xr:uid="{40F52508-12AC-4E76-8445-8C24632DAFD4}"/>
    <cellStyle name="Porcentaje 10" xfId="74" xr:uid="{EC9BF6A1-C5D9-43F1-BCBB-F8BE8E32D740}"/>
    <cellStyle name="Porcentaje 11" xfId="84" xr:uid="{7B9826D9-262C-45FA-BBAE-15B1F5AC948C}"/>
    <cellStyle name="Porcentaje 12" xfId="87" xr:uid="{5C343394-9EAF-469D-BB85-DD193ECEF52C}"/>
    <cellStyle name="Porcentaje 13" xfId="95" xr:uid="{03DC3069-CA02-43BF-A54D-800417F799F8}"/>
    <cellStyle name="Porcentaje 14" xfId="100" xr:uid="{E38E66C3-0ED1-4123-9AB2-FD40C699AE0C}"/>
    <cellStyle name="Porcentaje 15" xfId="107" xr:uid="{3F6571BE-75E0-499D-94ED-D696DF0508B6}"/>
    <cellStyle name="Porcentaje 16" xfId="113" xr:uid="{86382D9B-89E6-4D80-A825-C7B5DD706664}"/>
    <cellStyle name="Porcentaje 2" xfId="15" xr:uid="{5D79DB54-9593-4762-B0E7-57FDDC6A2187}"/>
    <cellStyle name="Porcentaje 3" xfId="5" xr:uid="{FA7F8CCE-D10B-4304-8C18-0159924BC600}"/>
    <cellStyle name="Porcentaje 4" xfId="42" xr:uid="{7FE69101-163D-48C8-B216-76DB815B89B1}"/>
    <cellStyle name="Porcentaje 5" xfId="48" xr:uid="{C31B0F60-F409-45BC-AACC-D38FD76689BE}"/>
    <cellStyle name="Porcentaje 6" xfId="53" xr:uid="{E36AA03B-4513-4D44-BB86-D4DAB6A3FDBD}"/>
    <cellStyle name="Porcentaje 7" xfId="60" xr:uid="{7C39D51D-E6BD-402C-BA8F-266629EA6CAC}"/>
    <cellStyle name="Porcentaje 8" xfId="65" xr:uid="{88FBEE4C-503E-4A15-9A04-0D3FD99B111A}"/>
    <cellStyle name="Porcentaje 9" xfId="71" xr:uid="{A38F8BBA-22B4-4DEB-8CB1-E220FF3AD4F1}"/>
    <cellStyle name="Style 1" xfId="10" xr:uid="{8B8391DD-803D-4C3F-A2BB-A73E2EB577A9}"/>
    <cellStyle name="Style 1 2" xfId="32" xr:uid="{231EE61E-51FA-434D-8739-42EA6CB02624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r>
              <a:rPr lang="en-GB"/>
              <a:t>KPIs: ADR / Occupancy / GOP Margin / GOP Amount</a:t>
            </a:r>
          </a:p>
        </c:rich>
      </c:tx>
      <c:layout>
        <c:manualLayout>
          <c:xMode val="edge"/>
          <c:yMode val="edge"/>
          <c:x val="0.18444794332082282"/>
          <c:y val="2.23007724495905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'P&amp;L'!$U$40</c:f>
              <c:strCache>
                <c:ptCount val="1"/>
                <c:pt idx="0">
                  <c:v>ADR (€)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'P&amp;L'!$V$40:$AA$40</c:f>
              <c:numCache>
                <c:formatCode>#,##0</c:formatCode>
                <c:ptCount val="6"/>
                <c:pt idx="0">
                  <c:v>360.61224489795916</c:v>
                </c:pt>
                <c:pt idx="1">
                  <c:v>375.03673469387752</c:v>
                </c:pt>
                <c:pt idx="2">
                  <c:v>390.03820408163261</c:v>
                </c:pt>
                <c:pt idx="3">
                  <c:v>405.63973224489791</c:v>
                </c:pt>
                <c:pt idx="4">
                  <c:v>421.86532153469386</c:v>
                </c:pt>
                <c:pt idx="5">
                  <c:v>438.73993439608165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EF-49CE-A1EB-F70C68EF9A0A}"/>
            </c:ext>
          </c:extLst>
        </c:ser>
        <c:ser>
          <c:idx val="3"/>
          <c:order val="3"/>
          <c:tx>
            <c:strRef>
              <c:f>'P&amp;L'!$U$43</c:f>
              <c:strCache>
                <c:ptCount val="1"/>
                <c:pt idx="0">
                  <c:v>GOP Amount (€ Thousands)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'P&amp;L'!$V$43:$AA$43</c:f>
              <c:numCache>
                <c:formatCode>#,##0</c:formatCode>
                <c:ptCount val="6"/>
                <c:pt idx="0">
                  <c:v>476.53067966069443</c:v>
                </c:pt>
                <c:pt idx="1">
                  <c:v>582.67013915963992</c:v>
                </c:pt>
                <c:pt idx="2">
                  <c:v>679.28085562352885</c:v>
                </c:pt>
                <c:pt idx="3">
                  <c:v>748.48790333464137</c:v>
                </c:pt>
                <c:pt idx="4">
                  <c:v>804.34145719745254</c:v>
                </c:pt>
                <c:pt idx="5">
                  <c:v>861.93692345808142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EF-49CE-A1EB-F70C68EF9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7519711"/>
        <c:axId val="1447520191"/>
      </c:barChart>
      <c:lineChart>
        <c:grouping val="standard"/>
        <c:varyColors val="0"/>
        <c:ser>
          <c:idx val="1"/>
          <c:order val="1"/>
          <c:tx>
            <c:strRef>
              <c:f>'P&amp;L'!$U$41</c:f>
              <c:strCache>
                <c:ptCount val="1"/>
                <c:pt idx="0">
                  <c:v>Occupancy %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'P&amp;L'!$V$41:$AA$41</c:f>
              <c:numCache>
                <c:formatCode>0%</c:formatCode>
                <c:ptCount val="6"/>
                <c:pt idx="0">
                  <c:v>0.78781262405716557</c:v>
                </c:pt>
                <c:pt idx="1">
                  <c:v>0.80356887653830888</c:v>
                </c:pt>
                <c:pt idx="2">
                  <c:v>0.82767594283445811</c:v>
                </c:pt>
                <c:pt idx="3">
                  <c:v>0.83595270226280272</c:v>
                </c:pt>
                <c:pt idx="4">
                  <c:v>0.83595270226280272</c:v>
                </c:pt>
                <c:pt idx="5">
                  <c:v>0.83595270226280272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EF-49CE-A1EB-F70C68EF9A0A}"/>
            </c:ext>
          </c:extLst>
        </c:ser>
        <c:ser>
          <c:idx val="2"/>
          <c:order val="2"/>
          <c:tx>
            <c:strRef>
              <c:f>'P&amp;L'!$U$42</c:f>
              <c:strCache>
                <c:ptCount val="1"/>
                <c:pt idx="0">
                  <c:v>GOP Margin %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numRef>
              <c:f>'P&amp;L'!$V$39:$AA$39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'P&amp;L'!$V$42:$AA$42</c:f>
              <c:numCache>
                <c:formatCode>0%</c:formatCode>
                <c:ptCount val="6"/>
                <c:pt idx="0">
                  <c:v>0.21922745247541978</c:v>
                </c:pt>
                <c:pt idx="1">
                  <c:v>0.25294114000851492</c:v>
                </c:pt>
                <c:pt idx="2">
                  <c:v>0.27722685870674885</c:v>
                </c:pt>
                <c:pt idx="3">
                  <c:v>0.2917397606278414</c:v>
                </c:pt>
                <c:pt idx="4">
                  <c:v>0.30140378379998495</c:v>
                </c:pt>
                <c:pt idx="5">
                  <c:v>0.31051350059459371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EF-49CE-A1EB-F70C68EF9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0858463"/>
        <c:axId val="762044672"/>
      </c:lineChart>
      <c:catAx>
        <c:axId val="1340858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762044672"/>
        <c:crosses val="autoZero"/>
        <c:auto val="1"/>
        <c:lblAlgn val="ctr"/>
        <c:lblOffset val="100"/>
        <c:noMultiLvlLbl val="0"/>
      </c:catAx>
      <c:valAx>
        <c:axId val="762044672"/>
        <c:scaling>
          <c:orientation val="minMax"/>
          <c:max val="0.9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340858463"/>
        <c:crosses val="autoZero"/>
        <c:crossBetween val="between"/>
      </c:valAx>
      <c:valAx>
        <c:axId val="1447520191"/>
        <c:scaling>
          <c:orientation val="minMax"/>
          <c:max val="1300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rbel" panose="020B0503020204020204" pitchFamily="34" charset="0"/>
                <a:ea typeface="+mn-ea"/>
                <a:cs typeface="+mn-cs"/>
              </a:defRPr>
            </a:pPr>
            <a:endParaRPr lang="en-US"/>
          </a:p>
        </c:txPr>
        <c:crossAx val="1447519711"/>
        <c:crosses val="max"/>
        <c:crossBetween val="between"/>
      </c:valAx>
      <c:catAx>
        <c:axId val="14475197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75201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0967993638404757E-2"/>
          <c:y val="0.88445208054870161"/>
          <c:w val="0.81806401272319051"/>
          <c:h val="0.1155479194512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orbel" panose="020B0503020204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orbel" panose="020B05030202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147732</xdr:colOff>
      <xdr:row>0</xdr:row>
      <xdr:rowOff>137433</xdr:rowOff>
    </xdr:from>
    <xdr:to>
      <xdr:col>27</xdr:col>
      <xdr:colOff>1</xdr:colOff>
      <xdr:row>37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DA2226-F0DD-17CD-00B4-A04DD583DB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victor.alarsa/Downloads/251120%20Projection%20Son%20Moli%20with%202026%20budget.xlsx" TargetMode="External"/><Relationship Id="rId1" Type="http://schemas.openxmlformats.org/officeDocument/2006/relationships/externalLinkPath" Target="file:///C:/Users/victor.alarsa/Downloads/251120%20Projection%20Son%20Moli%20with%202026%20budg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B"/>
      <sheetName val="2019--2033 CB"/>
      <sheetName val="SM2026."/>
      <sheetName val="SM2025"/>
      <sheetName val="2022--2033 SM"/>
      <sheetName val="SM 2026"/>
      <sheetName val="Info budget SM"/>
      <sheetName val="10 años"/>
    </sheetNames>
    <sheetDataSet>
      <sheetData sheetId="0" refreshError="1"/>
      <sheetData sheetId="1" refreshError="1"/>
      <sheetData sheetId="2">
        <row r="12">
          <cell r="Q12">
            <v>0.78781262405716557</v>
          </cell>
        </row>
        <row r="13">
          <cell r="Q13">
            <v>360.61224489795916</v>
          </cell>
        </row>
        <row r="14">
          <cell r="Q14">
            <v>284.09487892020644</v>
          </cell>
        </row>
        <row r="15">
          <cell r="Q15">
            <v>431.45724493846768</v>
          </cell>
        </row>
        <row r="16">
          <cell r="Q16">
            <v>5038</v>
          </cell>
        </row>
        <row r="17">
          <cell r="Q17">
            <v>3969</v>
          </cell>
        </row>
        <row r="19">
          <cell r="Q19">
            <v>1124761.3691</v>
          </cell>
        </row>
        <row r="20">
          <cell r="Q20">
            <v>0.51744531908445102</v>
          </cell>
        </row>
        <row r="26">
          <cell r="Q26">
            <v>-306994.57000000007</v>
          </cell>
        </row>
        <row r="27">
          <cell r="Q27">
            <v>-85876.2</v>
          </cell>
        </row>
        <row r="29">
          <cell r="Q29">
            <v>-165623.48332730561</v>
          </cell>
        </row>
        <row r="34">
          <cell r="Q34">
            <v>640655.6</v>
          </cell>
        </row>
        <row r="35">
          <cell r="Q35">
            <v>464545.1</v>
          </cell>
        </row>
        <row r="36">
          <cell r="Q36">
            <v>176110.5</v>
          </cell>
        </row>
        <row r="37">
          <cell r="Q37">
            <v>-116136.27499999999</v>
          </cell>
        </row>
        <row r="38">
          <cell r="Q38">
            <v>-38744.31</v>
          </cell>
        </row>
        <row r="39">
          <cell r="Q39">
            <v>-154880.58499999999</v>
          </cell>
        </row>
        <row r="40">
          <cell r="Q40">
            <v>-360583.34626800002</v>
          </cell>
        </row>
        <row r="41">
          <cell r="Q41">
            <v>-13065</v>
          </cell>
        </row>
        <row r="45">
          <cell r="Q45">
            <v>65000</v>
          </cell>
        </row>
        <row r="46">
          <cell r="Q46">
            <v>-21875</v>
          </cell>
        </row>
        <row r="48">
          <cell r="Q48">
            <v>-2600</v>
          </cell>
        </row>
        <row r="49">
          <cell r="Q49">
            <v>-874.99999999999989</v>
          </cell>
        </row>
        <row r="53">
          <cell r="Q53">
            <v>3375</v>
          </cell>
        </row>
        <row r="54">
          <cell r="Q54">
            <v>-2430</v>
          </cell>
        </row>
        <row r="58">
          <cell r="Q58">
            <v>33381</v>
          </cell>
        </row>
        <row r="59">
          <cell r="Q59">
            <v>-16690.5</v>
          </cell>
        </row>
        <row r="65">
          <cell r="Q65">
            <v>-116062.25624000002</v>
          </cell>
        </row>
        <row r="66">
          <cell r="Q66">
            <v>-53172.72</v>
          </cell>
        </row>
        <row r="70">
          <cell r="Q70">
            <v>-16506</v>
          </cell>
        </row>
        <row r="73">
          <cell r="Q73">
            <v>-66686.338431999975</v>
          </cell>
        </row>
        <row r="74">
          <cell r="Q74">
            <v>-71794.580000000016</v>
          </cell>
        </row>
        <row r="78">
          <cell r="Q78">
            <v>-175806.521072</v>
          </cell>
        </row>
        <row r="79">
          <cell r="Q79">
            <v>-20080</v>
          </cell>
        </row>
        <row r="87">
          <cell r="Q87">
            <v>-45548.82</v>
          </cell>
        </row>
      </sheetData>
      <sheetData sheetId="3">
        <row r="12">
          <cell r="Q12">
            <v>0.7386934673366834</v>
          </cell>
        </row>
        <row r="13">
          <cell r="Q13">
            <v>237.92271730914584</v>
          </cell>
        </row>
        <row r="14">
          <cell r="Q14">
            <v>175.75195700725848</v>
          </cell>
        </row>
        <row r="15">
          <cell r="Q15">
            <v>289.83396984924622</v>
          </cell>
        </row>
        <row r="16">
          <cell r="Q16">
            <v>3582</v>
          </cell>
        </row>
        <row r="17">
          <cell r="Q17">
            <v>2646</v>
          </cell>
        </row>
        <row r="18">
          <cell r="Q18">
            <v>5174</v>
          </cell>
        </row>
        <row r="19">
          <cell r="Q19">
            <v>-795078.91587369994</v>
          </cell>
        </row>
        <row r="20">
          <cell r="Q20">
            <v>-0.76583528122619882</v>
          </cell>
        </row>
        <row r="21">
          <cell r="Q21">
            <v>27.535714285714288</v>
          </cell>
        </row>
        <row r="22">
          <cell r="Q22">
            <v>1038185.2799999999</v>
          </cell>
        </row>
        <row r="25">
          <cell r="Q25">
            <v>629543.50999999989</v>
          </cell>
        </row>
        <row r="26">
          <cell r="Q26">
            <v>-232789.46207280003</v>
          </cell>
        </row>
        <row r="27">
          <cell r="Q27">
            <v>-31305</v>
          </cell>
        </row>
        <row r="28">
          <cell r="Q28">
            <v>-93851.34</v>
          </cell>
        </row>
        <row r="29">
          <cell r="Q29">
            <v>-93851.34</v>
          </cell>
        </row>
        <row r="30">
          <cell r="Q30">
            <v>254901.70792719998</v>
          </cell>
        </row>
        <row r="33">
          <cell r="Q33">
            <v>381737.49</v>
          </cell>
        </row>
        <row r="34">
          <cell r="Q34">
            <v>275859.33</v>
          </cell>
        </row>
        <row r="35">
          <cell r="Q35">
            <v>105878.16</v>
          </cell>
        </row>
        <row r="36">
          <cell r="Q36">
            <v>-86545.04</v>
          </cell>
        </row>
        <row r="37">
          <cell r="Q37">
            <v>-24476.379999999997</v>
          </cell>
        </row>
        <row r="38">
          <cell r="Q38">
            <v>-111021.42000000001</v>
          </cell>
        </row>
        <row r="39">
          <cell r="Q39">
            <v>-249189.11524890002</v>
          </cell>
        </row>
        <row r="40">
          <cell r="Q40">
            <v>-33096.07</v>
          </cell>
        </row>
        <row r="41">
          <cell r="Q41">
            <v>-11569.115248900009</v>
          </cell>
        </row>
        <row r="44">
          <cell r="Q44">
            <v>198.35</v>
          </cell>
        </row>
        <row r="45">
          <cell r="Q45">
            <v>0</v>
          </cell>
        </row>
        <row r="46">
          <cell r="Q46">
            <v>0</v>
          </cell>
        </row>
        <row r="47">
          <cell r="Q47">
            <v>0</v>
          </cell>
        </row>
        <row r="48">
          <cell r="Q48">
            <v>-607.72</v>
          </cell>
        </row>
        <row r="49">
          <cell r="Q49">
            <v>-409.37</v>
          </cell>
        </row>
        <row r="52">
          <cell r="Q52">
            <v>5708.65</v>
          </cell>
        </row>
        <row r="53">
          <cell r="Q53">
            <v>-4779.68</v>
          </cell>
        </row>
        <row r="54">
          <cell r="Q54">
            <v>928.97</v>
          </cell>
        </row>
        <row r="57">
          <cell r="Q57">
            <v>20997.279999999999</v>
          </cell>
        </row>
        <row r="58">
          <cell r="Q58">
            <v>-10478.780000000001</v>
          </cell>
        </row>
        <row r="59">
          <cell r="Q59">
            <v>10518.5</v>
          </cell>
        </row>
        <row r="61">
          <cell r="Q61">
            <v>254370.69267830002</v>
          </cell>
        </row>
        <row r="64">
          <cell r="Q64">
            <v>-176794.78635999997</v>
          </cell>
        </row>
        <row r="65">
          <cell r="Q65">
            <v>-38686.27350000001</v>
          </cell>
        </row>
        <row r="66">
          <cell r="Q66">
            <v>-215481.05986000001</v>
          </cell>
        </row>
        <row r="69">
          <cell r="Q69">
            <v>-18453.52</v>
          </cell>
        </row>
        <row r="72">
          <cell r="Q72">
            <v>-44870.411327999995</v>
          </cell>
        </row>
        <row r="73">
          <cell r="Q73">
            <v>-41527.411199999995</v>
          </cell>
        </row>
        <row r="74">
          <cell r="Q74">
            <v>-103277.76532799999</v>
          </cell>
        </row>
        <row r="77">
          <cell r="Q77">
            <v>-106780.82086399999</v>
          </cell>
        </row>
        <row r="78">
          <cell r="Q78">
            <v>-67020.66</v>
          </cell>
        </row>
        <row r="79">
          <cell r="Q79">
            <v>-173801.48086400001</v>
          </cell>
        </row>
        <row r="86">
          <cell r="Q86">
            <v>-20034.260000000002</v>
          </cell>
        </row>
        <row r="88">
          <cell r="Q88">
            <v>-529558.85605200008</v>
          </cell>
        </row>
        <row r="90">
          <cell r="Q90">
            <v>-275188.16337369999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Victor Alarsa" id="{37F4FF2D-6B8A-48C5-98F5-4B6B8A798944}" userId="S::Victor.Alarsa@macegroup.com::b91a12bd-3981-4420-b156-92657ab67470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" dT="2025-11-21T12:28:54.78" personId="{37F4FF2D-6B8A-48C5-98F5-4B6B8A798944}" id="{D275E3A7-C05D-4D16-8866-1C807F8DBD0A}">
    <text>FF&amp;E reserve, Insurance, Annual property taxes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7D262-2647-4F93-9B5C-854BB25D3515}">
  <sheetPr>
    <tabColor theme="4" tint="0.39997558519241921"/>
  </sheetPr>
  <dimension ref="B2:BB82"/>
  <sheetViews>
    <sheetView tabSelected="1" zoomScale="115" zoomScaleNormal="115" workbookViewId="0">
      <selection activeCell="AD89" sqref="AD89"/>
    </sheetView>
  </sheetViews>
  <sheetFormatPr baseColWidth="10" defaultColWidth="9.1640625" defaultRowHeight="11"/>
  <cols>
    <col min="1" max="1" width="2.1640625" style="65" customWidth="1"/>
    <col min="2" max="3" width="6.5" style="65" customWidth="1"/>
    <col min="4" max="4" width="9.5" style="65" customWidth="1"/>
    <col min="5" max="5" width="6.5" style="65" customWidth="1"/>
    <col min="6" max="6" width="9.5" style="65" customWidth="1"/>
    <col min="7" max="7" width="6.5" style="65" customWidth="1"/>
    <col min="8" max="8" width="9.5" style="65" customWidth="1"/>
    <col min="9" max="9" width="6.5" style="65" customWidth="1"/>
    <col min="10" max="10" width="9.5" style="69" customWidth="1"/>
    <col min="11" max="11" width="6.5" style="67" customWidth="1"/>
    <col min="12" max="12" width="9.5" style="69" customWidth="1"/>
    <col min="13" max="13" width="6.5" style="66" customWidth="1"/>
    <col min="14" max="14" width="9.5" style="69" customWidth="1"/>
    <col min="15" max="15" width="6.5" style="65" customWidth="1"/>
    <col min="16" max="16" width="9.5" style="69" customWidth="1"/>
    <col min="17" max="17" width="6.5" style="65" customWidth="1"/>
    <col min="18" max="18" width="9.5" style="69" customWidth="1"/>
    <col min="19" max="19" width="6.5" style="65" customWidth="1"/>
    <col min="20" max="20" width="2.33203125" style="69" customWidth="1"/>
    <col min="21" max="21" width="6.5" style="65" customWidth="1"/>
    <col min="22" max="22" width="7.5" style="65" customWidth="1"/>
    <col min="23" max="23" width="18.1640625" style="65" customWidth="1"/>
    <col min="24" max="24" width="6.1640625" style="65" customWidth="1"/>
    <col min="25" max="25" width="14.1640625" style="65" customWidth="1"/>
    <col min="26" max="29" width="6.1640625" style="65" customWidth="1"/>
    <col min="30" max="30" width="30.5" style="65" customWidth="1"/>
    <col min="31" max="31" width="12.5" style="65" customWidth="1"/>
    <col min="32" max="50" width="7.6640625" style="65" customWidth="1"/>
    <col min="51" max="16384" width="9.1640625" style="65"/>
  </cols>
  <sheetData>
    <row r="2" spans="2:20">
      <c r="B2" s="76" t="s">
        <v>102</v>
      </c>
      <c r="C2" s="76"/>
      <c r="D2" s="80" t="s">
        <v>94</v>
      </c>
      <c r="E2" s="76"/>
      <c r="F2" s="80" t="s">
        <v>96</v>
      </c>
      <c r="G2" s="76"/>
      <c r="H2" s="80" t="s">
        <v>97</v>
      </c>
      <c r="I2" s="76"/>
      <c r="J2" s="80" t="s">
        <v>98</v>
      </c>
      <c r="K2" s="76"/>
      <c r="L2" s="80" t="s">
        <v>99</v>
      </c>
      <c r="M2" s="76"/>
      <c r="N2" s="80" t="s">
        <v>100</v>
      </c>
      <c r="O2" s="76"/>
      <c r="P2" s="80" t="s">
        <v>120</v>
      </c>
      <c r="Q2" s="76"/>
      <c r="R2" s="80" t="s">
        <v>121</v>
      </c>
      <c r="S2" s="76"/>
      <c r="T2" s="65"/>
    </row>
    <row r="3" spans="2:20">
      <c r="B3" s="76"/>
      <c r="C3" s="76"/>
      <c r="D3" s="80">
        <v>2026</v>
      </c>
      <c r="E3" s="76"/>
      <c r="F3" s="80">
        <f>D3+1</f>
        <v>2027</v>
      </c>
      <c r="G3" s="76"/>
      <c r="H3" s="80">
        <f>F3+1</f>
        <v>2028</v>
      </c>
      <c r="I3" s="76"/>
      <c r="J3" s="80">
        <f>H3+1</f>
        <v>2029</v>
      </c>
      <c r="K3" s="76"/>
      <c r="L3" s="80">
        <f>J3+1</f>
        <v>2030</v>
      </c>
      <c r="M3" s="76"/>
      <c r="N3" s="80">
        <f>L3+1</f>
        <v>2031</v>
      </c>
      <c r="O3" s="76"/>
      <c r="P3" s="80">
        <f>N3+1</f>
        <v>2032</v>
      </c>
      <c r="Q3" s="76"/>
      <c r="R3" s="80">
        <f>P3+1</f>
        <v>2033</v>
      </c>
      <c r="S3" s="76"/>
      <c r="T3" s="65"/>
    </row>
    <row r="4" spans="2:20" hidden="1">
      <c r="B4" s="76"/>
      <c r="C4" s="76"/>
      <c r="D4" s="81">
        <f>'Detailed P&amp;L'!L5</f>
        <v>360.61224489795916</v>
      </c>
      <c r="E4" s="78">
        <f>D4/D$11</f>
        <v>1.6589929495559937E-4</v>
      </c>
      <c r="F4" s="81">
        <f>'Detailed P&amp;L'!N5</f>
        <v>375.03673469387752</v>
      </c>
      <c r="G4" s="78">
        <f>F4/F$11</f>
        <v>1.6280604212077184E-4</v>
      </c>
      <c r="H4" s="81">
        <f>'Detailed P&amp;L'!P5</f>
        <v>390.03820408163261</v>
      </c>
      <c r="I4" s="78">
        <f>H4/H$11</f>
        <v>1.5918167750203775E-4</v>
      </c>
      <c r="J4" s="81">
        <f>'Detailed P&amp;L'!R5</f>
        <v>405.63973224489791</v>
      </c>
      <c r="K4" s="78">
        <f>J4/J$11</f>
        <v>1.5810708210384935E-4</v>
      </c>
      <c r="L4" s="81">
        <f>'Detailed P&amp;L'!T5</f>
        <v>421.86532153469386</v>
      </c>
      <c r="M4" s="78">
        <f>L4/L$11</f>
        <v>1.5808187309850465E-4</v>
      </c>
      <c r="N4" s="81">
        <f>'Detailed P&amp;L'!V5</f>
        <v>438.73993439608165</v>
      </c>
      <c r="O4" s="78">
        <f>N4/N$11</f>
        <v>1.5805642985265987E-4</v>
      </c>
      <c r="P4" s="81">
        <f>'Detailed P&amp;L'!X5</f>
        <v>451.90213242796409</v>
      </c>
      <c r="Q4" s="78">
        <f>P4/P$11</f>
        <v>1.575192732593603E-4</v>
      </c>
      <c r="R4" s="81">
        <f>'Detailed P&amp;L'!Z5</f>
        <v>469.97821772508269</v>
      </c>
      <c r="S4" s="78">
        <f>R4/R$11</f>
        <v>1.5749327274051068E-4</v>
      </c>
      <c r="T4" s="65"/>
    </row>
    <row r="5" spans="2:20" hidden="1">
      <c r="B5" s="76"/>
      <c r="C5" s="76"/>
      <c r="D5" s="82">
        <f>'Detailed P&amp;L'!L4</f>
        <v>0.78781262405716557</v>
      </c>
      <c r="E5" s="78">
        <f>D5/D$11</f>
        <v>3.6243239306859182E-7</v>
      </c>
      <c r="F5" s="82">
        <f>'Detailed P&amp;L'!N4</f>
        <v>0.80356887653830888</v>
      </c>
      <c r="G5" s="78">
        <f>F5/F$11</f>
        <v>3.4883481072173746E-7</v>
      </c>
      <c r="H5" s="82">
        <f>'Detailed P&amp;L'!P4</f>
        <v>0.82767594283445811</v>
      </c>
      <c r="I5" s="78">
        <f>H5/H$11</f>
        <v>3.3778958991641522E-7</v>
      </c>
      <c r="J5" s="82">
        <f>'Detailed P&amp;L'!R4</f>
        <v>0.83595270226280272</v>
      </c>
      <c r="K5" s="78">
        <f>J5/J$11</f>
        <v>3.2583110584395201E-7</v>
      </c>
      <c r="L5" s="82">
        <f>'Detailed P&amp;L'!T4</f>
        <v>0.83595270226280272</v>
      </c>
      <c r="M5" s="78">
        <f>L5/L$11</f>
        <v>3.1324918700290134E-7</v>
      </c>
      <c r="N5" s="82">
        <f>'Detailed P&amp;L'!V4</f>
        <v>0.83595270226280272</v>
      </c>
      <c r="O5" s="78">
        <f>N5/N$11</f>
        <v>3.0115266308551046E-7</v>
      </c>
      <c r="P5" s="82">
        <f>'Detailed P&amp;L'!X4</f>
        <v>0.83595270226280272</v>
      </c>
      <c r="Q5" s="78">
        <f>P5/P$11</f>
        <v>2.9138756533888552E-7</v>
      </c>
      <c r="R5" s="82">
        <f>'Detailed P&amp;L'!Z4</f>
        <v>0.83595270226280272</v>
      </c>
      <c r="S5" s="78">
        <f>R5/R$11</f>
        <v>2.8013410402917062E-7</v>
      </c>
      <c r="T5" s="65"/>
    </row>
    <row r="6" spans="2:20">
      <c r="B6" s="76" t="s">
        <v>71</v>
      </c>
      <c r="C6" s="76"/>
      <c r="D6" s="81">
        <f>D4*(1+Sensitivities!$D$2)</f>
        <v>360.61224489795916</v>
      </c>
      <c r="E6" s="78"/>
      <c r="F6" s="81">
        <f>F4*(1+Sensitivities!$D$2)</f>
        <v>375.03673469387752</v>
      </c>
      <c r="G6" s="78"/>
      <c r="H6" s="81">
        <f>H4*(1+Sensitivities!$D$2)</f>
        <v>390.03820408163261</v>
      </c>
      <c r="I6" s="78"/>
      <c r="J6" s="81">
        <f>J4*(1+Sensitivities!$D$2)</f>
        <v>405.63973224489791</v>
      </c>
      <c r="K6" s="78"/>
      <c r="L6" s="81">
        <f>L4*(1+Sensitivities!$D$2)</f>
        <v>421.86532153469386</v>
      </c>
      <c r="M6" s="78"/>
      <c r="N6" s="81">
        <f>N4*(1+Sensitivities!$D$2)</f>
        <v>438.73993439608165</v>
      </c>
      <c r="O6" s="78"/>
      <c r="P6" s="81">
        <f>P4*(1+Sensitivities!$D$2)</f>
        <v>451.90213242796409</v>
      </c>
      <c r="Q6" s="78"/>
      <c r="R6" s="81">
        <f>R4*(1+Sensitivities!$D$2)</f>
        <v>469.97821772508269</v>
      </c>
      <c r="S6" s="78"/>
      <c r="T6" s="65"/>
    </row>
    <row r="7" spans="2:20">
      <c r="B7" s="76" t="s">
        <v>73</v>
      </c>
      <c r="C7" s="76"/>
      <c r="D7" s="82">
        <f>D5+Sensitivities!$D$3</f>
        <v>0.78781262405716557</v>
      </c>
      <c r="E7" s="78"/>
      <c r="F7" s="82">
        <f>F5+Sensitivities!$D$3</f>
        <v>0.80356887653830888</v>
      </c>
      <c r="G7" s="78"/>
      <c r="H7" s="82">
        <f>H5+Sensitivities!$D$3</f>
        <v>0.82767594283445811</v>
      </c>
      <c r="I7" s="78"/>
      <c r="J7" s="82">
        <f>J5+Sensitivities!$D$3</f>
        <v>0.83595270226280272</v>
      </c>
      <c r="K7" s="78"/>
      <c r="L7" s="82">
        <f>L5+Sensitivities!$D$3</f>
        <v>0.83595270226280272</v>
      </c>
      <c r="M7" s="78"/>
      <c r="N7" s="82">
        <f>N5+Sensitivities!$D$3</f>
        <v>0.83595270226280272</v>
      </c>
      <c r="O7" s="78"/>
      <c r="P7" s="82">
        <f>P5+Sensitivities!$D$3</f>
        <v>0.83595270226280272</v>
      </c>
      <c r="Q7" s="78"/>
      <c r="R7" s="82">
        <f>R5+Sensitivities!$D$3</f>
        <v>0.83595270226280272</v>
      </c>
      <c r="S7" s="78"/>
      <c r="T7" s="65"/>
    </row>
    <row r="8" spans="2:20">
      <c r="B8" s="76" t="s">
        <v>5</v>
      </c>
      <c r="C8" s="76"/>
      <c r="D8" s="81">
        <f>'Detailed P&amp;L'!L8</f>
        <v>5038</v>
      </c>
      <c r="E8" s="78"/>
      <c r="F8" s="81">
        <f>'Detailed P&amp;L'!N8</f>
        <v>5038</v>
      </c>
      <c r="G8" s="78"/>
      <c r="H8" s="81">
        <f>'Detailed P&amp;L'!P8</f>
        <v>5038</v>
      </c>
      <c r="I8" s="78"/>
      <c r="J8" s="81">
        <f>'Detailed P&amp;L'!R8</f>
        <v>5038</v>
      </c>
      <c r="K8" s="78"/>
      <c r="L8" s="81">
        <f>'Detailed P&amp;L'!T8</f>
        <v>5038</v>
      </c>
      <c r="M8" s="78"/>
      <c r="N8" s="81">
        <f>'Detailed P&amp;L'!V8</f>
        <v>5038</v>
      </c>
      <c r="O8" s="78"/>
      <c r="P8" s="81">
        <f>'Detailed P&amp;L'!X8</f>
        <v>5038</v>
      </c>
      <c r="Q8" s="78"/>
      <c r="R8" s="81">
        <f>'Detailed P&amp;L'!Z8</f>
        <v>5038</v>
      </c>
      <c r="S8" s="78"/>
      <c r="T8" s="65"/>
    </row>
    <row r="9" spans="2:20">
      <c r="B9" s="76" t="s">
        <v>101</v>
      </c>
      <c r="C9" s="76"/>
      <c r="D9" s="81">
        <f>D8*D7</f>
        <v>3969</v>
      </c>
      <c r="E9" s="78"/>
      <c r="F9" s="81">
        <f>F8*F7</f>
        <v>4048.38</v>
      </c>
      <c r="G9" s="78"/>
      <c r="H9" s="81">
        <f>H8*H7</f>
        <v>4169.8314</v>
      </c>
      <c r="I9" s="78"/>
      <c r="J9" s="81">
        <f>J8*J7</f>
        <v>4211.5297140000002</v>
      </c>
      <c r="K9" s="78"/>
      <c r="L9" s="81">
        <f>L8*L7</f>
        <v>4211.5297140000002</v>
      </c>
      <c r="M9" s="78"/>
      <c r="N9" s="81">
        <f>N8*N7</f>
        <v>4211.5297140000002</v>
      </c>
      <c r="O9" s="78"/>
      <c r="P9" s="81">
        <f>P8*P7</f>
        <v>4211.5297140000002</v>
      </c>
      <c r="Q9" s="78"/>
      <c r="R9" s="81">
        <f>R8*R7</f>
        <v>4211.5297140000002</v>
      </c>
      <c r="S9" s="78"/>
      <c r="T9" s="65"/>
    </row>
    <row r="10" spans="2:20" ht="2.5" customHeight="1">
      <c r="D10" s="77"/>
      <c r="E10" s="79"/>
      <c r="F10" s="77"/>
      <c r="G10" s="79"/>
      <c r="H10" s="77"/>
      <c r="I10" s="79"/>
      <c r="J10" s="77"/>
      <c r="K10" s="79"/>
      <c r="L10" s="77"/>
      <c r="M10" s="79"/>
      <c r="N10" s="77"/>
      <c r="O10" s="79"/>
      <c r="P10" s="77"/>
      <c r="Q10" s="79"/>
      <c r="R10" s="77"/>
      <c r="S10" s="79"/>
      <c r="T10" s="65"/>
    </row>
    <row r="11" spans="2:20">
      <c r="B11" s="76" t="s">
        <v>12</v>
      </c>
      <c r="C11" s="76"/>
      <c r="D11" s="81">
        <f t="shared" ref="D11:S11" si="0">SUM(D12:D15)</f>
        <v>2173681.6</v>
      </c>
      <c r="E11" s="99">
        <f t="shared" si="0"/>
        <v>0.99999999999999989</v>
      </c>
      <c r="F11" s="81">
        <f t="shared" si="0"/>
        <v>2303579.9519999996</v>
      </c>
      <c r="G11" s="99">
        <f t="shared" si="0"/>
        <v>1.0000000000000002</v>
      </c>
      <c r="H11" s="81">
        <f t="shared" si="0"/>
        <v>2450270.7233792003</v>
      </c>
      <c r="I11" s="99">
        <f t="shared" si="0"/>
        <v>0.99999999999999978</v>
      </c>
      <c r="J11" s="81">
        <f t="shared" si="0"/>
        <v>2565601.2801403916</v>
      </c>
      <c r="K11" s="99">
        <f t="shared" si="0"/>
        <v>1</v>
      </c>
      <c r="L11" s="81">
        <f t="shared" si="0"/>
        <v>2668650.8279910078</v>
      </c>
      <c r="M11" s="99">
        <f t="shared" si="0"/>
        <v>0.99999999999999989</v>
      </c>
      <c r="N11" s="81">
        <f t="shared" si="0"/>
        <v>2775843.6325878981</v>
      </c>
      <c r="O11" s="99">
        <f t="shared" si="0"/>
        <v>1</v>
      </c>
      <c r="P11" s="81">
        <f t="shared" si="0"/>
        <v>2868868.8252382516</v>
      </c>
      <c r="Q11" s="99">
        <f t="shared" si="0"/>
        <v>1</v>
      </c>
      <c r="R11" s="81">
        <f t="shared" si="0"/>
        <v>2984116.1438014493</v>
      </c>
      <c r="S11" s="99">
        <f t="shared" si="0"/>
        <v>1</v>
      </c>
      <c r="T11" s="65"/>
    </row>
    <row r="12" spans="2:20">
      <c r="B12" s="76" t="s">
        <v>74</v>
      </c>
      <c r="C12" s="76"/>
      <c r="D12" s="81">
        <f>D8*D7*D6</f>
        <v>1431270</v>
      </c>
      <c r="E12" s="99">
        <f>D12/D$11</f>
        <v>0.65845430167877395</v>
      </c>
      <c r="F12" s="81">
        <f>F8*F7*F6</f>
        <v>1518291.216</v>
      </c>
      <c r="G12" s="99">
        <f>F12/F$11</f>
        <v>0.65910072480089044</v>
      </c>
      <c r="H12" s="81">
        <f>H8*H7*H6</f>
        <v>1626393.5505791998</v>
      </c>
      <c r="I12" s="99">
        <f>H12/H$11</f>
        <v>0.66376075715267058</v>
      </c>
      <c r="J12" s="81">
        <f>J8*J7*J6</f>
        <v>1708363.7855283916</v>
      </c>
      <c r="K12" s="99">
        <f>J12/J$11</f>
        <v>0.66587267427419927</v>
      </c>
      <c r="L12" s="81">
        <f>L8*L7*L6</f>
        <v>1776698.3369495275</v>
      </c>
      <c r="M12" s="99">
        <f>L12/L$11</f>
        <v>0.66576650579912966</v>
      </c>
      <c r="N12" s="81">
        <f>N8*N7*N6</f>
        <v>1847766.2704275085</v>
      </c>
      <c r="O12" s="99">
        <f>N12/N$11</f>
        <v>0.66565935081323369</v>
      </c>
      <c r="P12" s="81">
        <f>P8*P7*P6</f>
        <v>1903199.2585403339</v>
      </c>
      <c r="Q12" s="99">
        <f>P12/P$11</f>
        <v>0.66339709985948159</v>
      </c>
      <c r="R12" s="81">
        <f>R8*R7*R6</f>
        <v>1979327.2288819472</v>
      </c>
      <c r="S12" s="99">
        <f>R12/R$11</f>
        <v>0.66328759790176695</v>
      </c>
      <c r="T12" s="65"/>
    </row>
    <row r="13" spans="2:20">
      <c r="B13" s="76" t="s">
        <v>76</v>
      </c>
      <c r="C13" s="76"/>
      <c r="D13" s="81">
        <f>'Detailed P&amp;L'!L25</f>
        <v>640655.6</v>
      </c>
      <c r="E13" s="99">
        <f>D13/D$11</f>
        <v>0.29473295444926245</v>
      </c>
      <c r="F13" s="81">
        <f>'Detailed P&amp;L'!N25</f>
        <v>679094.93599999999</v>
      </c>
      <c r="G13" s="99">
        <f>F13/F$11</f>
        <v>0.29479981166288605</v>
      </c>
      <c r="H13" s="81">
        <f>'Detailed P&amp;L'!P25</f>
        <v>713049.68280000007</v>
      </c>
      <c r="I13" s="99">
        <f>H13/H$11</f>
        <v>0.29100853060702775</v>
      </c>
      <c r="J13" s="81">
        <f>'Detailed P&amp;L'!R25</f>
        <v>741571.67011200008</v>
      </c>
      <c r="K13" s="99">
        <f>J13/J$11</f>
        <v>0.28904400533796926</v>
      </c>
      <c r="L13" s="81">
        <f>'Detailed P&amp;L'!T25</f>
        <v>771234.53691648017</v>
      </c>
      <c r="M13" s="99">
        <f>L13/L$11</f>
        <v>0.28899791940824071</v>
      </c>
      <c r="N13" s="81">
        <f>'Detailed P&amp;L'!V25</f>
        <v>802083.91839313938</v>
      </c>
      <c r="O13" s="99">
        <f>N13/N$11</f>
        <v>0.28895140525093721</v>
      </c>
      <c r="P13" s="81">
        <f>'Detailed P&amp;L'!X25</f>
        <v>834167.27512886503</v>
      </c>
      <c r="Q13" s="99">
        <f>P13/P$11</f>
        <v>0.29076522000255267</v>
      </c>
      <c r="R13" s="81">
        <f>'Detailed P&amp;L'!Z25</f>
        <v>867533.96613401966</v>
      </c>
      <c r="S13" s="99">
        <f>R13/R$11</f>
        <v>0.29071722557985724</v>
      </c>
      <c r="T13" s="65"/>
    </row>
    <row r="14" spans="2:20">
      <c r="B14" s="76" t="s">
        <v>80</v>
      </c>
      <c r="C14" s="76"/>
      <c r="D14" s="81">
        <f>'Detailed P&amp;L'!L44</f>
        <v>65000</v>
      </c>
      <c r="E14" s="99">
        <f>D14/D$11</f>
        <v>2.9903183612540123E-2</v>
      </c>
      <c r="F14" s="81">
        <f>'Detailed P&amp;L'!N44</f>
        <v>67600</v>
      </c>
      <c r="G14" s="99">
        <f>F14/F$11</f>
        <v>2.9345627852555654E-2</v>
      </c>
      <c r="H14" s="81">
        <f>'Detailed P&amp;L'!P44</f>
        <v>70304</v>
      </c>
      <c r="I14" s="99">
        <f>H14/H$11</f>
        <v>2.869233971952407E-2</v>
      </c>
      <c r="J14" s="81">
        <f>'Detailed P&amp;L'!R44</f>
        <v>73116.160000000003</v>
      </c>
      <c r="K14" s="99">
        <f>J14/J$11</f>
        <v>2.8498644963257515E-2</v>
      </c>
      <c r="L14" s="81">
        <f>'Detailed P&amp;L'!T44</f>
        <v>76040.806400000001</v>
      </c>
      <c r="M14" s="99">
        <f>L14/L$11</f>
        <v>2.8494101065010602E-2</v>
      </c>
      <c r="N14" s="81">
        <f>'Detailed P&amp;L'!V44</f>
        <v>79082.438655999998</v>
      </c>
      <c r="O14" s="99">
        <f>N14/N$11</f>
        <v>2.8489514945145535E-2</v>
      </c>
      <c r="P14" s="81">
        <f>'Detailed P&amp;L'!X44</f>
        <v>82245.736202240005</v>
      </c>
      <c r="Q14" s="99">
        <f>P14/P$11</f>
        <v>2.8668350214795801E-2</v>
      </c>
      <c r="R14" s="81">
        <f>'Detailed P&amp;L'!Z44</f>
        <v>85535.565650329605</v>
      </c>
      <c r="S14" s="99">
        <f>R14/R$11</f>
        <v>2.8663618146365547E-2</v>
      </c>
      <c r="T14" s="65"/>
    </row>
    <row r="15" spans="2:20">
      <c r="B15" s="76" t="s">
        <v>83</v>
      </c>
      <c r="C15" s="76"/>
      <c r="D15" s="81">
        <f>SUM('Detailed P&amp;L'!L52,'Detailed P&amp;L'!L57)</f>
        <v>36756</v>
      </c>
      <c r="E15" s="99">
        <f>D15/D$11</f>
        <v>1.6909560259423459E-2</v>
      </c>
      <c r="F15" s="81">
        <f>SUM('Detailed P&amp;L'!N52,'Detailed P&amp;L'!N57)</f>
        <v>38593.800000000003</v>
      </c>
      <c r="G15" s="99">
        <f>F15/F$11</f>
        <v>1.6753835683668082E-2</v>
      </c>
      <c r="H15" s="81">
        <f>SUM('Detailed P&amp;L'!P52,'Detailed P&amp;L'!P57)</f>
        <v>40523.490000000005</v>
      </c>
      <c r="I15" s="99">
        <f>H15/H$11</f>
        <v>1.6538372520777431E-2</v>
      </c>
      <c r="J15" s="81">
        <f>SUM('Detailed P&amp;L'!R52,'Detailed P&amp;L'!R57)</f>
        <v>42549.664500000006</v>
      </c>
      <c r="K15" s="99">
        <f>J15/J$11</f>
        <v>1.6584675424574022E-2</v>
      </c>
      <c r="L15" s="81">
        <f>SUM('Detailed P&amp;L'!T52,'Detailed P&amp;L'!T57)</f>
        <v>44677.14772500001</v>
      </c>
      <c r="M15" s="99">
        <f>L15/L$11</f>
        <v>1.6741473727618948E-2</v>
      </c>
      <c r="N15" s="81">
        <f>SUM('Detailed P&amp;L'!V52,'Detailed P&amp;L'!V57)</f>
        <v>46911.005111250008</v>
      </c>
      <c r="O15" s="99">
        <f>N15/N$11</f>
        <v>1.6899728990683538E-2</v>
      </c>
      <c r="P15" s="81">
        <f>SUM('Detailed P&amp;L'!X52,'Detailed P&amp;L'!X57)</f>
        <v>49256.555366812514</v>
      </c>
      <c r="Q15" s="99">
        <f>P15/P$11</f>
        <v>1.7169329923169944E-2</v>
      </c>
      <c r="R15" s="81">
        <f>SUM('Detailed P&amp;L'!Z52,'Detailed P&amp;L'!Z57)</f>
        <v>51719.383135153141</v>
      </c>
      <c r="S15" s="99">
        <f>R15/R$11</f>
        <v>1.7331558372010312E-2</v>
      </c>
      <c r="T15" s="65"/>
    </row>
    <row r="16" spans="2:20" ht="2.5" customHeight="1">
      <c r="D16" s="83"/>
      <c r="E16" s="68"/>
      <c r="F16" s="83"/>
      <c r="G16" s="68"/>
      <c r="H16" s="83"/>
      <c r="I16" s="68"/>
      <c r="J16" s="83"/>
      <c r="K16" s="68"/>
      <c r="L16" s="83"/>
      <c r="M16" s="68"/>
      <c r="N16" s="83"/>
      <c r="O16" s="68"/>
      <c r="P16" s="83"/>
      <c r="Q16" s="68"/>
      <c r="R16" s="83"/>
      <c r="S16" s="68"/>
      <c r="T16" s="65"/>
    </row>
    <row r="17" spans="2:31">
      <c r="B17" s="76" t="s">
        <v>75</v>
      </c>
      <c r="C17" s="76"/>
      <c r="D17" s="81">
        <f>SUM('Detailed P&amp;L'!L18:L20)</f>
        <v>558494.25332730566</v>
      </c>
      <c r="E17" s="99">
        <f>D17/D12</f>
        <v>0.39020887276845434</v>
      </c>
      <c r="F17" s="81">
        <f>SUM('Detailed P&amp;L'!N18:N20)</f>
        <v>569759.04017200007</v>
      </c>
      <c r="G17" s="99">
        <f>F17/F12</f>
        <v>0.37526334484964846</v>
      </c>
      <c r="H17" s="81">
        <f>SUM('Detailed P&amp;L'!P18:P20)</f>
        <v>593323.02141343686</v>
      </c>
      <c r="I17" s="99">
        <f>H17/H12</f>
        <v>0.36480901021904544</v>
      </c>
      <c r="J17" s="81">
        <f>SUM('Detailed P&amp;L'!R18:R20)</f>
        <v>612567.45354455314</v>
      </c>
      <c r="K17" s="99">
        <f>J17/J12</f>
        <v>0.35856967862093136</v>
      </c>
      <c r="L17" s="81">
        <f>SUM('Detailed P&amp;L'!T18:T20)</f>
        <v>629602.22121492377</v>
      </c>
      <c r="M17" s="99">
        <f>L17/L12</f>
        <v>0.35436641557052884</v>
      </c>
      <c r="N17" s="81">
        <f>SUM('Detailed P&amp;L'!V18:V20)</f>
        <v>648075.13713452523</v>
      </c>
      <c r="O17" s="99">
        <f>N17/N12</f>
        <v>0.35073436911724948</v>
      </c>
      <c r="P17" s="81">
        <f>SUM('Detailed P&amp;L'!X18:X20)</f>
        <v>664094.69305477326</v>
      </c>
      <c r="Q17" s="99">
        <f>P17/P12</f>
        <v>0.34893597718407227</v>
      </c>
      <c r="R17" s="81">
        <f>SUM('Detailed P&amp;L'!Z18:Z20)</f>
        <v>690658.48077696422</v>
      </c>
      <c r="S17" s="99">
        <f>R17/R12</f>
        <v>0.34893597718407232</v>
      </c>
      <c r="T17" s="65"/>
    </row>
    <row r="18" spans="2:31">
      <c r="B18" s="76" t="s">
        <v>78</v>
      </c>
      <c r="C18" s="76"/>
      <c r="D18" s="81">
        <f>D12-D17</f>
        <v>872775.74667269434</v>
      </c>
      <c r="E18" s="99">
        <f>D18/D12</f>
        <v>0.6097911272315456</v>
      </c>
      <c r="F18" s="81">
        <f>F12-F17</f>
        <v>948532.17582799995</v>
      </c>
      <c r="G18" s="99">
        <f>F18/F12</f>
        <v>0.62473665515035159</v>
      </c>
      <c r="H18" s="81">
        <f>H12-H17</f>
        <v>1033070.5291657629</v>
      </c>
      <c r="I18" s="99">
        <f>H18/H12</f>
        <v>0.63519098978095456</v>
      </c>
      <c r="J18" s="81">
        <f>J12-J17</f>
        <v>1095796.3319838385</v>
      </c>
      <c r="K18" s="99">
        <f>J18/J12</f>
        <v>0.64143032137906864</v>
      </c>
      <c r="L18" s="81">
        <f>L12-L17</f>
        <v>1147096.1157346037</v>
      </c>
      <c r="M18" s="99">
        <f>L18/L12</f>
        <v>0.64563358442947116</v>
      </c>
      <c r="N18" s="81">
        <f>N12-N17</f>
        <v>1199691.1332929833</v>
      </c>
      <c r="O18" s="99">
        <f>N18/N12</f>
        <v>0.64926563088275047</v>
      </c>
      <c r="P18" s="81">
        <f>P12-P17</f>
        <v>1239104.5654855608</v>
      </c>
      <c r="Q18" s="99">
        <f>P18/P12</f>
        <v>0.65106402281592779</v>
      </c>
      <c r="R18" s="81">
        <f>R12-R17</f>
        <v>1288668.748104983</v>
      </c>
      <c r="S18" s="99">
        <f>R18/R12</f>
        <v>0.65106402281592768</v>
      </c>
      <c r="T18" s="65"/>
    </row>
    <row r="19" spans="2:31" ht="2.5" customHeight="1">
      <c r="D19" s="83"/>
      <c r="E19" s="68"/>
      <c r="F19" s="83"/>
      <c r="G19" s="68"/>
      <c r="H19" s="83"/>
      <c r="I19" s="68"/>
      <c r="J19" s="83"/>
      <c r="K19" s="68"/>
      <c r="L19" s="83"/>
      <c r="M19" s="68"/>
      <c r="N19" s="83"/>
      <c r="O19" s="68"/>
      <c r="P19" s="83"/>
      <c r="Q19" s="68"/>
      <c r="R19" s="83"/>
      <c r="S19" s="68"/>
      <c r="T19" s="65"/>
    </row>
    <row r="20" spans="2:31">
      <c r="B20" s="76" t="s">
        <v>77</v>
      </c>
      <c r="C20" s="76"/>
      <c r="D20" s="81">
        <f>D13-D21</f>
        <v>528528.93126800004</v>
      </c>
      <c r="E20" s="99">
        <f>D20/D13</f>
        <v>0.82498136482066198</v>
      </c>
      <c r="F20" s="81">
        <f>F13-F21</f>
        <v>548900.56675604009</v>
      </c>
      <c r="G20" s="99">
        <f>F20/F13</f>
        <v>0.80828252083452456</v>
      </c>
      <c r="H20" s="81">
        <f>H13-H21</f>
        <v>561223.03522760049</v>
      </c>
      <c r="I20" s="99">
        <f>H20/H13</f>
        <v>0.78707423727305026</v>
      </c>
      <c r="J20" s="81">
        <f>J13-J21</f>
        <v>572281.25009302644</v>
      </c>
      <c r="K20" s="99">
        <f>J20/J13</f>
        <v>0.771714013841163</v>
      </c>
      <c r="L20" s="81">
        <f>L13-L21</f>
        <v>583665.14126983262</v>
      </c>
      <c r="M20" s="99">
        <f>L20/L13</f>
        <v>0.7567933142665263</v>
      </c>
      <c r="N20" s="81">
        <f>N13-N21</f>
        <v>595386.48693110805</v>
      </c>
      <c r="O20" s="99">
        <f>N20/N13</f>
        <v>0.74229949420240204</v>
      </c>
      <c r="P20" s="81">
        <f>P13-P21</f>
        <v>607457.5214173753</v>
      </c>
      <c r="Q20" s="99">
        <f>P20/P13</f>
        <v>0.72822027371372622</v>
      </c>
      <c r="R20" s="81">
        <f>R13-R21</f>
        <v>619890.9532595725</v>
      </c>
      <c r="S20" s="99">
        <f>R20/R13</f>
        <v>0.71454372676839906</v>
      </c>
      <c r="T20" s="65"/>
    </row>
    <row r="21" spans="2:31">
      <c r="B21" s="76" t="s">
        <v>79</v>
      </c>
      <c r="C21" s="76"/>
      <c r="D21" s="81">
        <f>'Detailed P&amp;L'!L41</f>
        <v>112126.66873199999</v>
      </c>
      <c r="E21" s="99">
        <f>D21/D13</f>
        <v>0.17501863517933816</v>
      </c>
      <c r="F21" s="81">
        <f>'Detailed P&amp;L'!N41</f>
        <v>130194.36924395994</v>
      </c>
      <c r="G21" s="99">
        <f>F21/F13</f>
        <v>0.19171747916547555</v>
      </c>
      <c r="H21" s="81">
        <f>'Detailed P&amp;L'!P41</f>
        <v>151826.64757239961</v>
      </c>
      <c r="I21" s="99">
        <f>H21/H13</f>
        <v>0.21292576272694977</v>
      </c>
      <c r="J21" s="81">
        <f>'Detailed P&amp;L'!R41</f>
        <v>169290.42001897367</v>
      </c>
      <c r="K21" s="99">
        <f>J21/J13</f>
        <v>0.22828598615883697</v>
      </c>
      <c r="L21" s="81">
        <f>'Detailed P&amp;L'!T41</f>
        <v>187569.39564664749</v>
      </c>
      <c r="M21" s="99">
        <f>L21/L13</f>
        <v>0.24320668573347368</v>
      </c>
      <c r="N21" s="81">
        <f>'Detailed P&amp;L'!V41</f>
        <v>206697.43146203132</v>
      </c>
      <c r="O21" s="99">
        <f>N21/N13</f>
        <v>0.25770050579759801</v>
      </c>
      <c r="P21" s="81">
        <f>'Detailed P&amp;L'!X41</f>
        <v>226709.7537114897</v>
      </c>
      <c r="Q21" s="99">
        <f>P21/P13</f>
        <v>0.27177972628627367</v>
      </c>
      <c r="R21" s="81">
        <f>'Detailed P&amp;L'!Z41</f>
        <v>247643.01287444719</v>
      </c>
      <c r="S21" s="99">
        <f>R21/R13</f>
        <v>0.285456273231601</v>
      </c>
      <c r="T21" s="65"/>
    </row>
    <row r="22" spans="2:31" ht="2.5" customHeight="1">
      <c r="D22" s="83"/>
      <c r="E22" s="68"/>
      <c r="F22" s="83"/>
      <c r="G22" s="68"/>
      <c r="H22" s="83"/>
      <c r="I22" s="68"/>
      <c r="J22" s="83"/>
      <c r="K22" s="68"/>
      <c r="L22" s="83"/>
      <c r="M22" s="68"/>
      <c r="N22" s="83"/>
      <c r="O22" s="68"/>
      <c r="P22" s="83"/>
      <c r="Q22" s="68"/>
      <c r="R22" s="83"/>
      <c r="S22" s="68"/>
      <c r="T22" s="65"/>
    </row>
    <row r="23" spans="2:31">
      <c r="B23" s="76" t="s">
        <v>81</v>
      </c>
      <c r="C23" s="76"/>
      <c r="D23" s="81">
        <f>D14-D24</f>
        <v>25350</v>
      </c>
      <c r="E23" s="99">
        <f>D23/D14</f>
        <v>0.39</v>
      </c>
      <c r="F23" s="81">
        <f>F14-F24</f>
        <v>26364</v>
      </c>
      <c r="G23" s="99">
        <f>F23/F14</f>
        <v>0.39</v>
      </c>
      <c r="H23" s="81">
        <f>H14-H24</f>
        <v>27418.560000000005</v>
      </c>
      <c r="I23" s="99">
        <f>H23/H14</f>
        <v>0.39000000000000007</v>
      </c>
      <c r="J23" s="81">
        <f>J14-J24</f>
        <v>28515.3024</v>
      </c>
      <c r="K23" s="99">
        <f>J23/J14</f>
        <v>0.39</v>
      </c>
      <c r="L23" s="81">
        <f>L14-L24</f>
        <v>29655.914495999998</v>
      </c>
      <c r="M23" s="99">
        <f>L23/L14</f>
        <v>0.38999999999999996</v>
      </c>
      <c r="N23" s="81">
        <f>N14-N24</f>
        <v>30842.151075839996</v>
      </c>
      <c r="O23" s="99">
        <f>N23/N14</f>
        <v>0.38999999999999996</v>
      </c>
      <c r="P23" s="81">
        <f>P14-P24</f>
        <v>32075.837118873606</v>
      </c>
      <c r="Q23" s="99">
        <f>P23/P14</f>
        <v>0.39000000000000007</v>
      </c>
      <c r="R23" s="81">
        <f>R14-R24</f>
        <v>33358.870603628551</v>
      </c>
      <c r="S23" s="99">
        <f>R23/R14</f>
        <v>0.39000000000000007</v>
      </c>
      <c r="T23" s="65"/>
      <c r="AC23" s="75"/>
    </row>
    <row r="24" spans="2:31">
      <c r="B24" s="76" t="s">
        <v>82</v>
      </c>
      <c r="C24" s="76"/>
      <c r="D24" s="81">
        <f>'Detailed P&amp;L'!L49</f>
        <v>39650</v>
      </c>
      <c r="E24" s="99">
        <f>D24/D14</f>
        <v>0.61</v>
      </c>
      <c r="F24" s="81">
        <f>'Detailed P&amp;L'!N49</f>
        <v>41236</v>
      </c>
      <c r="G24" s="99">
        <f>F24/F14</f>
        <v>0.61</v>
      </c>
      <c r="H24" s="81">
        <f>'Detailed P&amp;L'!P49</f>
        <v>42885.439999999995</v>
      </c>
      <c r="I24" s="99">
        <f>H24/H14</f>
        <v>0.60999999999999988</v>
      </c>
      <c r="J24" s="81">
        <f>'Detailed P&amp;L'!R49</f>
        <v>44600.857600000003</v>
      </c>
      <c r="K24" s="99">
        <f>J24/J14</f>
        <v>0.61</v>
      </c>
      <c r="L24" s="81">
        <f>'Detailed P&amp;L'!T49</f>
        <v>46384.891904000004</v>
      </c>
      <c r="M24" s="99">
        <f>L24/L14</f>
        <v>0.61</v>
      </c>
      <c r="N24" s="81">
        <f>'Detailed P&amp;L'!V49</f>
        <v>48240.287580160002</v>
      </c>
      <c r="O24" s="99">
        <f>N24/N14</f>
        <v>0.61</v>
      </c>
      <c r="P24" s="81">
        <f>'Detailed P&amp;L'!X49</f>
        <v>50169.899083366399</v>
      </c>
      <c r="Q24" s="99">
        <f>P24/P14</f>
        <v>0.61</v>
      </c>
      <c r="R24" s="81">
        <f>'Detailed P&amp;L'!Z49</f>
        <v>52176.695046701054</v>
      </c>
      <c r="S24" s="99">
        <f>R24/R14</f>
        <v>0.61</v>
      </c>
      <c r="T24" s="65"/>
    </row>
    <row r="25" spans="2:31" ht="2.5" customHeight="1">
      <c r="D25" s="83"/>
      <c r="E25" s="68"/>
      <c r="F25" s="83"/>
      <c r="G25" s="68"/>
      <c r="H25" s="83"/>
      <c r="I25" s="68"/>
      <c r="J25" s="83"/>
      <c r="K25" s="68"/>
      <c r="L25" s="83"/>
      <c r="M25" s="68"/>
      <c r="N25" s="83"/>
      <c r="O25" s="68"/>
      <c r="P25" s="83"/>
      <c r="Q25" s="68"/>
      <c r="R25" s="83"/>
      <c r="S25" s="68"/>
      <c r="T25" s="65"/>
    </row>
    <row r="26" spans="2:31" ht="11.25" customHeight="1">
      <c r="B26" s="76" t="s">
        <v>118</v>
      </c>
      <c r="C26" s="76"/>
      <c r="D26" s="81">
        <f>D15-D27</f>
        <v>19120.5</v>
      </c>
      <c r="E26" s="99">
        <f>D26/D17</f>
        <v>3.4235804372358382E-2</v>
      </c>
      <c r="F26" s="81">
        <f>F17-F27</f>
        <v>551241.76517200004</v>
      </c>
      <c r="G26" s="99">
        <f>F26/F17</f>
        <v>0.96749981361522586</v>
      </c>
      <c r="H26" s="81">
        <f>H17-H27</f>
        <v>573879.88266343682</v>
      </c>
      <c r="I26" s="99">
        <f>H26/H17</f>
        <v>0.96723009549893779</v>
      </c>
      <c r="J26" s="81">
        <f>J17-J27</f>
        <v>592152.1578570531</v>
      </c>
      <c r="K26" s="99">
        <f>J26/J17</f>
        <v>0.96667257529049377</v>
      </c>
      <c r="L26" s="81">
        <f>L17-L27</f>
        <v>608166.16074304876</v>
      </c>
      <c r="M26" s="99">
        <f>L26/L17</f>
        <v>0.96595301009181556</v>
      </c>
      <c r="N26" s="81">
        <f>N17-N27</f>
        <v>625567.27363905648</v>
      </c>
      <c r="O26" s="99">
        <f>N26/N17</f>
        <v>0.9652696698179356</v>
      </c>
      <c r="P26" s="81">
        <f>P17-P27</f>
        <v>640461.43638453109</v>
      </c>
      <c r="Q26" s="99">
        <f>P26/P17</f>
        <v>0.96441282106693038</v>
      </c>
      <c r="R26" s="81">
        <f>R17-R27</f>
        <v>665843.56127320987</v>
      </c>
      <c r="S26" s="99">
        <f>R26/R17</f>
        <v>0.9640706366541123</v>
      </c>
      <c r="T26" s="65"/>
    </row>
    <row r="27" spans="2:31" ht="11.25" customHeight="1">
      <c r="B27" s="76" t="s">
        <v>119</v>
      </c>
      <c r="C27" s="76"/>
      <c r="D27" s="81">
        <f>SUM('Detailed P&amp;L'!L54,'Detailed P&amp;L'!L59)</f>
        <v>17635.5</v>
      </c>
      <c r="E27" s="99">
        <f>D27/D$11</f>
        <v>8.1131937630607893E-3</v>
      </c>
      <c r="F27" s="81">
        <f>SUM('Detailed P&amp;L'!N54,'Detailed P&amp;L'!N59)</f>
        <v>18517.275000000001</v>
      </c>
      <c r="G27" s="99">
        <f>F27/F$11</f>
        <v>8.0384772336306587E-3</v>
      </c>
      <c r="H27" s="81">
        <f>SUM('Detailed P&amp;L'!P54,'Detailed P&amp;L'!P59)</f>
        <v>19443.138750000002</v>
      </c>
      <c r="I27" s="99">
        <f>H27/H$11</f>
        <v>7.9350981769009243E-3</v>
      </c>
      <c r="J27" s="81">
        <f>SUM('Detailed P&amp;L'!R54,'Detailed P&amp;L'!R59)</f>
        <v>20415.295687500002</v>
      </c>
      <c r="K27" s="99">
        <f>J27/J$11</f>
        <v>7.9573142738620945E-3</v>
      </c>
      <c r="L27" s="81">
        <f>SUM('Detailed P&amp;L'!T54,'Detailed P&amp;L'!T59)</f>
        <v>21436.060471875004</v>
      </c>
      <c r="M27" s="99">
        <f>L27/L$11</f>
        <v>8.032545976804438E-3</v>
      </c>
      <c r="N27" s="81">
        <f>SUM('Detailed P&amp;L'!V54,'Detailed P&amp;L'!V59)</f>
        <v>22507.863495468755</v>
      </c>
      <c r="O27" s="99">
        <f>N27/N$11</f>
        <v>8.1084767280226247E-3</v>
      </c>
      <c r="P27" s="81">
        <f>SUM('Detailed P&amp;L'!X54,'Detailed P&amp;L'!X59)</f>
        <v>23633.256670242194</v>
      </c>
      <c r="Q27" s="99">
        <f>P27/P$11</f>
        <v>8.23783104418499E-3</v>
      </c>
      <c r="R27" s="81">
        <f>SUM('Detailed P&amp;L'!Z54,'Detailed P&amp;L'!Z59)</f>
        <v>24814.919503754307</v>
      </c>
      <c r="S27" s="99">
        <f>R27/R$11</f>
        <v>8.315668126825224E-3</v>
      </c>
      <c r="T27" s="65"/>
    </row>
    <row r="28" spans="2:31" ht="2.5" customHeight="1">
      <c r="D28" s="83"/>
      <c r="E28" s="68"/>
      <c r="F28" s="83"/>
      <c r="G28" s="68"/>
      <c r="H28" s="83"/>
      <c r="I28" s="68"/>
      <c r="J28" s="83"/>
      <c r="K28" s="68"/>
      <c r="L28" s="83"/>
      <c r="M28" s="68"/>
      <c r="N28" s="83"/>
      <c r="O28" s="68"/>
      <c r="P28" s="83"/>
      <c r="Q28" s="68"/>
      <c r="R28" s="83"/>
      <c r="S28" s="68"/>
      <c r="T28" s="65"/>
    </row>
    <row r="29" spans="2:31">
      <c r="B29" s="76" t="s">
        <v>84</v>
      </c>
      <c r="C29" s="76"/>
      <c r="D29" s="81">
        <f>SUM(D18,D21,D24,D27)</f>
        <v>1042187.9154046944</v>
      </c>
      <c r="E29" s="99">
        <f>D29/D11</f>
        <v>0.47945748604795402</v>
      </c>
      <c r="F29" s="81">
        <f>SUM(F18,F21,F24,F27)</f>
        <v>1138479.8200719599</v>
      </c>
      <c r="G29" s="99">
        <f>F29/F11</f>
        <v>0.4942219691934357</v>
      </c>
      <c r="H29" s="81">
        <f>SUM(H18,H21,H24,H27)</f>
        <v>1247225.7554881624</v>
      </c>
      <c r="I29" s="99">
        <f>H29/H11</f>
        <v>0.50901549105892152</v>
      </c>
      <c r="J29" s="81">
        <f>SUM(J18,J21,J24,J27)</f>
        <v>1330102.9052903121</v>
      </c>
      <c r="K29" s="99">
        <f>J29/J11</f>
        <v>0.51843710696056711</v>
      </c>
      <c r="L29" s="81">
        <f>SUM(L18,L21,L24,L27)</f>
        <v>1402486.4637571261</v>
      </c>
      <c r="M29" s="99">
        <f>L29/L11</f>
        <v>0.52554138932178496</v>
      </c>
      <c r="N29" s="81">
        <f>SUM(N18,N21,N24,N27)</f>
        <v>1477136.7158306434</v>
      </c>
      <c r="O29" s="99">
        <f>N29/N11</f>
        <v>0.53213974248741092</v>
      </c>
      <c r="P29" s="81">
        <f>SUM(P18,P21,P24,P27)</f>
        <v>1539617.4749506591</v>
      </c>
      <c r="Q29" s="99">
        <f>P29/P11</f>
        <v>0.53666360114000611</v>
      </c>
      <c r="R29" s="81">
        <f>SUM(R18,R21,R24,R27)</f>
        <v>1613303.3755298855</v>
      </c>
      <c r="S29" s="99">
        <f>R29/R11</f>
        <v>0.54063022274820283</v>
      </c>
      <c r="T29" s="65"/>
    </row>
    <row r="30" spans="2:31" ht="2.5" customHeight="1">
      <c r="D30" s="83"/>
      <c r="E30" s="68"/>
      <c r="F30" s="83"/>
      <c r="G30" s="68"/>
      <c r="H30" s="83"/>
      <c r="I30" s="68"/>
      <c r="J30" s="83"/>
      <c r="K30" s="68"/>
      <c r="L30" s="83"/>
      <c r="M30" s="68"/>
      <c r="N30" s="83"/>
      <c r="O30" s="68"/>
      <c r="P30" s="83"/>
      <c r="Q30" s="68"/>
      <c r="R30" s="83"/>
      <c r="S30" s="68"/>
      <c r="T30" s="65"/>
    </row>
    <row r="31" spans="2:31">
      <c r="B31" s="76" t="s">
        <v>85</v>
      </c>
      <c r="C31" s="76"/>
      <c r="D31" s="81">
        <f>SUM('Detailed P&amp;L'!L66,'Detailed P&amp;L'!L70)</f>
        <v>185740.97624000002</v>
      </c>
      <c r="E31" s="99">
        <f>D31/D$11</f>
        <v>8.5449946413494973E-2</v>
      </c>
      <c r="F31" s="81">
        <f>SUM('Detailed P&amp;L'!N66,'Detailed P&amp;L'!N70)</f>
        <v>189620.85576480001</v>
      </c>
      <c r="G31" s="99">
        <f>F31/F$11</f>
        <v>8.231572583368274E-2</v>
      </c>
      <c r="H31" s="81">
        <f>SUM('Detailed P&amp;L'!P66,'Detailed P&amp;L'!P70)</f>
        <v>193583.28468009603</v>
      </c>
      <c r="I31" s="99">
        <f>H31/H$11</f>
        <v>7.9004855599434654E-2</v>
      </c>
      <c r="J31" s="81">
        <f>SUM('Detailed P&amp;L'!R66,'Detailed P&amp;L'!R70)</f>
        <v>197630.06252769794</v>
      </c>
      <c r="K31" s="99">
        <f>J31/J$11</f>
        <v>7.7030699999059662E-2</v>
      </c>
      <c r="L31" s="81">
        <f>SUM('Detailed P&amp;L'!T66,'Detailed P&amp;L'!T70)</f>
        <v>201763.02929687191</v>
      </c>
      <c r="M31" s="99">
        <f>L31/L$11</f>
        <v>7.5604881380739314E-2</v>
      </c>
      <c r="N31" s="81">
        <f>SUM('Detailed P&amp;L'!V66,'Detailed P&amp;L'!V70)</f>
        <v>205984.06636698794</v>
      </c>
      <c r="O31" s="99">
        <f>N31/N$11</f>
        <v>7.4205932909466712E-2</v>
      </c>
      <c r="P31" s="81">
        <f>SUM('Detailed P&amp;L'!X66,'Detailed P&amp;L'!X70)</f>
        <v>210295.09747303172</v>
      </c>
      <c r="Q31" s="99">
        <f>P31/P$11</f>
        <v>7.3302444372153303E-2</v>
      </c>
      <c r="R31" s="81">
        <f>SUM('Detailed P&amp;L'!Z66,'Detailed P&amp;L'!Z70)</f>
        <v>214698.08969455742</v>
      </c>
      <c r="S31" s="99">
        <f>R31/R$11</f>
        <v>7.1946961628998357E-2</v>
      </c>
      <c r="T31" s="65"/>
      <c r="AD31" s="96"/>
      <c r="AE31" s="73"/>
    </row>
    <row r="32" spans="2:31">
      <c r="B32" s="76" t="s">
        <v>45</v>
      </c>
      <c r="C32" s="76"/>
      <c r="D32" s="81">
        <f>'Detailed P&amp;L'!L76</f>
        <v>138480.91843199998</v>
      </c>
      <c r="E32" s="99">
        <f>D32/D$11</f>
        <v>6.3708005087773648E-2</v>
      </c>
      <c r="F32" s="81">
        <f>'Detailed P&amp;L'!N76</f>
        <v>144038.20361663995</v>
      </c>
      <c r="G32" s="99">
        <f>F32/F$11</f>
        <v>6.2527981063380936E-2</v>
      </c>
      <c r="H32" s="81">
        <f>'Detailed P&amp;L'!P76</f>
        <v>145338.85892940799</v>
      </c>
      <c r="I32" s="99">
        <f>H32/H$11</f>
        <v>5.9315428920837479E-2</v>
      </c>
      <c r="J32" s="81">
        <f>'Detailed P&amp;L'!R76</f>
        <v>148245.63610799614</v>
      </c>
      <c r="K32" s="99">
        <f>J32/J$11</f>
        <v>5.778202453184153E-2</v>
      </c>
      <c r="L32" s="81">
        <f>'Detailed P&amp;L'!T76</f>
        <v>151210.54883015607</v>
      </c>
      <c r="M32" s="99">
        <f>L32/L$11</f>
        <v>5.6661796007231556E-2</v>
      </c>
      <c r="N32" s="81">
        <f>'Detailed P&amp;L'!V76</f>
        <v>154234.75980675919</v>
      </c>
      <c r="O32" s="99">
        <f>N32/N$11</f>
        <v>5.5563201758222699E-2</v>
      </c>
      <c r="P32" s="81">
        <f>'Detailed P&amp;L'!X76</f>
        <v>157319.45500289439</v>
      </c>
      <c r="Q32" s="99">
        <f>P32/P$11</f>
        <v>5.4836754339867545E-2</v>
      </c>
      <c r="R32" s="81">
        <f>'Detailed P&amp;L'!Z76</f>
        <v>160465.84410295228</v>
      </c>
      <c r="S32" s="99">
        <f>R32/R$11</f>
        <v>5.3773323949293649E-2</v>
      </c>
      <c r="T32" s="65"/>
    </row>
    <row r="33" spans="2:54">
      <c r="B33" s="76" t="s">
        <v>86</v>
      </c>
      <c r="C33" s="76"/>
      <c r="D33" s="81">
        <f>'Detailed P&amp;L'!L81</f>
        <v>195886.521072</v>
      </c>
      <c r="E33" s="99">
        <f>D33/D$11</f>
        <v>9.0117393951349628E-2</v>
      </c>
      <c r="F33" s="81">
        <f>'Detailed P&amp;L'!N81</f>
        <v>203721.98191488002</v>
      </c>
      <c r="G33" s="99">
        <f>F33/F$11</f>
        <v>8.8437122287857134E-2</v>
      </c>
      <c r="H33" s="81">
        <f>'Detailed P&amp;L'!P81</f>
        <v>211870.86119147521</v>
      </c>
      <c r="I33" s="99">
        <f>H33/H$11</f>
        <v>8.6468347831900522E-2</v>
      </c>
      <c r="J33" s="81">
        <f>'Detailed P&amp;L'!R81</f>
        <v>220345.69563913424</v>
      </c>
      <c r="K33" s="99">
        <f>J33/J$11</f>
        <v>8.5884621801824462E-2</v>
      </c>
      <c r="L33" s="81">
        <f>'Detailed P&amp;L'!T81</f>
        <v>229159.5234646996</v>
      </c>
      <c r="M33" s="99">
        <f>L33/L$11</f>
        <v>8.5870928133829183E-2</v>
      </c>
      <c r="N33" s="81">
        <f>'Detailed P&amp;L'!V81</f>
        <v>238325.90440328757</v>
      </c>
      <c r="O33" s="99">
        <f>N33/N$11</f>
        <v>8.5857107225127849E-2</v>
      </c>
      <c r="P33" s="81">
        <f>'Detailed P&amp;L'!X81</f>
        <v>247858.94057941911</v>
      </c>
      <c r="Q33" s="99">
        <f>P33/P$11</f>
        <v>8.6396052130001136E-2</v>
      </c>
      <c r="R33" s="81">
        <f>'Detailed P&amp;L'!Z81</f>
        <v>257773.29820259588</v>
      </c>
      <c r="S33" s="99">
        <f>R33/R$11</f>
        <v>8.6381791385043039E-2</v>
      </c>
      <c r="T33" s="65"/>
      <c r="AF33" s="66"/>
      <c r="AG33" s="66"/>
      <c r="AH33" s="66"/>
      <c r="AI33" s="66"/>
      <c r="AJ33" s="66"/>
      <c r="AK33" s="66"/>
    </row>
    <row r="34" spans="2:54">
      <c r="B34" s="76" t="s">
        <v>87</v>
      </c>
      <c r="C34" s="76"/>
      <c r="D34" s="81">
        <f>'Detailed P&amp;L'!L83</f>
        <v>45548.82</v>
      </c>
      <c r="E34" s="99">
        <f>D34/D$11</f>
        <v>2.0954688119915996E-2</v>
      </c>
      <c r="F34" s="81">
        <f>'Detailed P&amp;L'!N83</f>
        <v>18428.639615999997</v>
      </c>
      <c r="G34" s="99">
        <f>F34/F$11</f>
        <v>8.0000000000000002E-3</v>
      </c>
      <c r="H34" s="81">
        <f>'Detailed P&amp;L'!P83</f>
        <v>17151.895063654403</v>
      </c>
      <c r="I34" s="99">
        <f>H34/H$11</f>
        <v>7.0000000000000001E-3</v>
      </c>
      <c r="J34" s="81">
        <f>'Detailed P&amp;L'!R83</f>
        <v>15393.60768084235</v>
      </c>
      <c r="K34" s="99">
        <f>J34/J$11</f>
        <v>6.0000000000000001E-3</v>
      </c>
      <c r="L34" s="81">
        <f>'Detailed P&amp;L'!T83</f>
        <v>16011.904967946048</v>
      </c>
      <c r="M34" s="99">
        <f>L34/L$11</f>
        <v>6.0000000000000001E-3</v>
      </c>
      <c r="N34" s="81">
        <f>'Detailed P&amp;L'!V83</f>
        <v>16655.061795527388</v>
      </c>
      <c r="O34" s="99">
        <f>N34/N$11</f>
        <v>6.0000000000000001E-3</v>
      </c>
      <c r="P34" s="81">
        <f>'Detailed P&amp;L'!X83</f>
        <v>17213.212951429508</v>
      </c>
      <c r="Q34" s="99">
        <f>P34/P$11</f>
        <v>5.9999999999999993E-3</v>
      </c>
      <c r="R34" s="81">
        <f>'Detailed P&amp;L'!Z83</f>
        <v>17904.696862808698</v>
      </c>
      <c r="S34" s="99">
        <f>R34/R$11</f>
        <v>6.000000000000001E-3</v>
      </c>
      <c r="T34" s="65"/>
    </row>
    <row r="35" spans="2:54">
      <c r="B35" s="76" t="s">
        <v>103</v>
      </c>
      <c r="C35" s="76"/>
      <c r="D35" s="81">
        <f>SUM(D31:D34)</f>
        <v>565657.23574399995</v>
      </c>
      <c r="E35" s="99">
        <f>D35/D$11</f>
        <v>0.26023003357253421</v>
      </c>
      <c r="F35" s="81">
        <f>SUM(F31:F34)</f>
        <v>555809.68091231992</v>
      </c>
      <c r="G35" s="99">
        <f>F35/F$11</f>
        <v>0.24128082918492078</v>
      </c>
      <c r="H35" s="81">
        <f>SUM(H31:H34)</f>
        <v>567944.89986463357</v>
      </c>
      <c r="I35" s="99">
        <f>H35/H$11</f>
        <v>0.23178863235217265</v>
      </c>
      <c r="J35" s="81">
        <f>SUM(J31:J34)</f>
        <v>581615.00195567077</v>
      </c>
      <c r="K35" s="99">
        <f>J35/J$11</f>
        <v>0.2266973463327257</v>
      </c>
      <c r="L35" s="81">
        <f>SUM(L31:L34)</f>
        <v>598145.00655967358</v>
      </c>
      <c r="M35" s="99">
        <f>L35/L$11</f>
        <v>0.22413760552180004</v>
      </c>
      <c r="N35" s="81">
        <f>SUM(N31:N34)</f>
        <v>615199.79237256199</v>
      </c>
      <c r="O35" s="99">
        <f>N35/N$11</f>
        <v>0.22162624189281724</v>
      </c>
      <c r="P35" s="81">
        <f>SUM(P31:P34)</f>
        <v>632686.7060067748</v>
      </c>
      <c r="Q35" s="99">
        <f>P35/P$11</f>
        <v>0.220535250842022</v>
      </c>
      <c r="R35" s="81">
        <f>SUM(R31:R34)</f>
        <v>650841.92886291421</v>
      </c>
      <c r="S35" s="99">
        <f>R35/R$11</f>
        <v>0.21810207696333503</v>
      </c>
      <c r="T35" s="65"/>
    </row>
    <row r="36" spans="2:54" ht="2.5" customHeight="1">
      <c r="D36" s="83"/>
      <c r="E36" s="68"/>
      <c r="F36" s="83"/>
      <c r="G36" s="68"/>
      <c r="H36" s="83"/>
      <c r="I36" s="68"/>
      <c r="J36" s="83"/>
      <c r="K36" s="68"/>
      <c r="L36" s="83"/>
      <c r="M36" s="68"/>
      <c r="N36" s="83"/>
      <c r="O36" s="68"/>
      <c r="P36" s="83"/>
      <c r="Q36" s="68"/>
      <c r="R36" s="83"/>
      <c r="S36" s="68"/>
      <c r="T36" s="65"/>
    </row>
    <row r="37" spans="2:54">
      <c r="B37" s="76" t="s">
        <v>0</v>
      </c>
      <c r="C37" s="76"/>
      <c r="D37" s="81">
        <f>D29-D35</f>
        <v>476530.67966069444</v>
      </c>
      <c r="E37" s="99">
        <f>D37/SUM(D12,D13,D14,D15)</f>
        <v>0.21922745247541978</v>
      </c>
      <c r="F37" s="81">
        <f>F29-F35</f>
        <v>582670.13915963995</v>
      </c>
      <c r="G37" s="99">
        <f>F37/SUM(F12,F13,F14,F15)</f>
        <v>0.25294114000851492</v>
      </c>
      <c r="H37" s="81">
        <f>H29-H35</f>
        <v>679280.85562352883</v>
      </c>
      <c r="I37" s="99">
        <f>H37/SUM(H12,H13,H14,H15)</f>
        <v>0.27722685870674885</v>
      </c>
      <c r="J37" s="81">
        <f>J29-J35</f>
        <v>748487.90333464136</v>
      </c>
      <c r="K37" s="99">
        <f>J37/SUM(J12,J13,J14,J15)</f>
        <v>0.2917397606278414</v>
      </c>
      <c r="L37" s="81">
        <f>L29-L35</f>
        <v>804341.45719745255</v>
      </c>
      <c r="M37" s="99">
        <f>L37/SUM(L12,L13,L14,L15)</f>
        <v>0.30140378379998495</v>
      </c>
      <c r="N37" s="81">
        <f>N29-N35</f>
        <v>861936.92345808144</v>
      </c>
      <c r="O37" s="99">
        <f>N37/SUM(N12,N13,N14,N15)</f>
        <v>0.31051350059459371</v>
      </c>
      <c r="P37" s="81">
        <f>P29-P35</f>
        <v>906930.76894388429</v>
      </c>
      <c r="Q37" s="99">
        <f>P37/SUM(P12,P13,P14,P15)</f>
        <v>0.31612835029798414</v>
      </c>
      <c r="R37" s="81">
        <f>R29-R35</f>
        <v>962461.44666697131</v>
      </c>
      <c r="S37" s="99">
        <f>R37/SUM(R12,R13,R14,R15)</f>
        <v>0.32252814578486777</v>
      </c>
      <c r="T37" s="65"/>
    </row>
    <row r="38" spans="2:54">
      <c r="D38" s="69"/>
      <c r="E38" s="69"/>
      <c r="F38" s="69"/>
      <c r="G38" s="69"/>
      <c r="H38" s="69"/>
      <c r="I38" s="69"/>
      <c r="K38" s="69"/>
      <c r="M38" s="69"/>
      <c r="O38" s="69"/>
      <c r="Q38" s="69"/>
      <c r="S38" s="69"/>
      <c r="T38" s="65"/>
      <c r="AY38" s="66"/>
      <c r="AZ38" s="66"/>
      <c r="BA38" s="66"/>
      <c r="BB38" s="66"/>
    </row>
    <row r="39" spans="2:54">
      <c r="J39" s="65"/>
      <c r="K39" s="65"/>
      <c r="L39" s="65"/>
      <c r="M39" s="65"/>
      <c r="N39" s="65"/>
      <c r="P39" s="65"/>
      <c r="R39" s="65"/>
      <c r="T39" s="65"/>
      <c r="U39" s="76"/>
      <c r="V39" s="80">
        <v>2026</v>
      </c>
      <c r="W39" s="80">
        <f>V39+1</f>
        <v>2027</v>
      </c>
      <c r="X39" s="80">
        <f t="shared" ref="X39:AA39" si="1">W39+1</f>
        <v>2028</v>
      </c>
      <c r="Y39" s="80">
        <f t="shared" si="1"/>
        <v>2029</v>
      </c>
      <c r="Z39" s="80">
        <f t="shared" si="1"/>
        <v>2030</v>
      </c>
      <c r="AA39" s="80">
        <f t="shared" si="1"/>
        <v>2031</v>
      </c>
      <c r="AY39" s="69"/>
      <c r="AZ39" s="69"/>
      <c r="BA39" s="69"/>
      <c r="BB39" s="69"/>
    </row>
    <row r="40" spans="2:54">
      <c r="J40" s="65"/>
      <c r="K40" s="65"/>
      <c r="L40" s="65"/>
      <c r="M40" s="65"/>
      <c r="N40" s="65"/>
      <c r="P40" s="65"/>
      <c r="R40" s="65"/>
      <c r="T40" s="65"/>
      <c r="U40" s="76" t="s">
        <v>105</v>
      </c>
      <c r="V40" s="81">
        <f>D6</f>
        <v>360.61224489795916</v>
      </c>
      <c r="W40" s="81">
        <f>F6</f>
        <v>375.03673469387752</v>
      </c>
      <c r="X40" s="81">
        <f>H6</f>
        <v>390.03820408163261</v>
      </c>
      <c r="Y40" s="81">
        <f>J6</f>
        <v>405.63973224489791</v>
      </c>
      <c r="Z40" s="81">
        <f>L6</f>
        <v>421.86532153469386</v>
      </c>
      <c r="AA40" s="81">
        <f>N6</f>
        <v>438.73993439608165</v>
      </c>
      <c r="AY40" s="66"/>
      <c r="AZ40" s="66"/>
      <c r="BA40" s="66"/>
      <c r="BB40" s="66"/>
    </row>
    <row r="41" spans="2:54">
      <c r="D41" s="69"/>
      <c r="F41" s="69"/>
      <c r="G41" s="66"/>
      <c r="H41" s="69"/>
      <c r="K41" s="65"/>
      <c r="M41" s="65"/>
      <c r="T41" s="65"/>
      <c r="U41" s="76" t="s">
        <v>1</v>
      </c>
      <c r="V41" s="82">
        <f>D7</f>
        <v>0.78781262405716557</v>
      </c>
      <c r="W41" s="82">
        <f>F7</f>
        <v>0.80356887653830888</v>
      </c>
      <c r="X41" s="82">
        <f>H7</f>
        <v>0.82767594283445811</v>
      </c>
      <c r="Y41" s="82">
        <f>J7</f>
        <v>0.83595270226280272</v>
      </c>
      <c r="Z41" s="82">
        <f>L7</f>
        <v>0.83595270226280272</v>
      </c>
      <c r="AA41" s="82">
        <f>N7</f>
        <v>0.83595270226280272</v>
      </c>
      <c r="AY41" s="66"/>
      <c r="AZ41" s="66"/>
      <c r="BA41" s="66"/>
      <c r="BB41" s="66"/>
    </row>
    <row r="42" spans="2:54">
      <c r="D42" s="69"/>
      <c r="F42" s="69"/>
      <c r="G42" s="66"/>
      <c r="H42" s="69"/>
      <c r="K42" s="65"/>
      <c r="M42" s="65"/>
      <c r="T42" s="65"/>
      <c r="U42" s="76" t="s">
        <v>106</v>
      </c>
      <c r="V42" s="82">
        <f>E37</f>
        <v>0.21922745247541978</v>
      </c>
      <c r="W42" s="82">
        <f>G37</f>
        <v>0.25294114000851492</v>
      </c>
      <c r="X42" s="82">
        <f>I37</f>
        <v>0.27722685870674885</v>
      </c>
      <c r="Y42" s="82">
        <f>K37</f>
        <v>0.2917397606278414</v>
      </c>
      <c r="Z42" s="82">
        <f>M37</f>
        <v>0.30140378379998495</v>
      </c>
      <c r="AA42" s="82">
        <f>O37</f>
        <v>0.31051350059459371</v>
      </c>
      <c r="AY42" s="66"/>
      <c r="AZ42" s="66"/>
      <c r="BA42" s="66"/>
      <c r="BB42" s="66"/>
    </row>
    <row r="43" spans="2:54">
      <c r="D43" s="69"/>
      <c r="F43" s="69"/>
      <c r="G43" s="66"/>
      <c r="H43" s="69"/>
      <c r="K43" s="65"/>
      <c r="M43" s="65"/>
      <c r="T43" s="65"/>
      <c r="U43" s="76" t="s">
        <v>104</v>
      </c>
      <c r="V43" s="81">
        <f>D37/1000</f>
        <v>476.53067966069443</v>
      </c>
      <c r="W43" s="81">
        <f>F37/1000</f>
        <v>582.67013915963992</v>
      </c>
      <c r="X43" s="81">
        <f>H37/1000</f>
        <v>679.28085562352885</v>
      </c>
      <c r="Y43" s="81">
        <f>J37/1000</f>
        <v>748.48790333464137</v>
      </c>
      <c r="Z43" s="81">
        <f>L37/1000</f>
        <v>804.34145719745254</v>
      </c>
      <c r="AA43" s="81">
        <f>N37/1000</f>
        <v>861.93692345808142</v>
      </c>
      <c r="AY43" s="66"/>
      <c r="AZ43" s="66"/>
      <c r="BA43" s="66"/>
      <c r="BB43" s="66"/>
    </row>
    <row r="44" spans="2:54">
      <c r="D44" s="74"/>
      <c r="F44" s="71"/>
      <c r="G44" s="70"/>
      <c r="H44" s="71"/>
      <c r="J44" s="71"/>
      <c r="K44" s="65"/>
      <c r="L44" s="71"/>
      <c r="M44" s="65"/>
      <c r="N44" s="71"/>
      <c r="P44" s="71"/>
      <c r="R44" s="71"/>
      <c r="T44" s="65"/>
    </row>
    <row r="45" spans="2:54">
      <c r="T45" s="65"/>
      <c r="X45" s="66"/>
      <c r="Y45" s="66"/>
      <c r="Z45" s="66"/>
      <c r="AA45" s="66"/>
      <c r="AB45" s="66"/>
      <c r="AC45" s="66"/>
    </row>
    <row r="46" spans="2:54">
      <c r="T46" s="65"/>
      <c r="X46" s="72"/>
      <c r="AY46" s="84"/>
      <c r="AZ46" s="84"/>
      <c r="BA46" s="84"/>
      <c r="BB46" s="84"/>
    </row>
    <row r="48" spans="2:54">
      <c r="J48" s="65"/>
      <c r="K48" s="65"/>
      <c r="L48" s="65"/>
      <c r="M48" s="65"/>
      <c r="N48" s="65"/>
      <c r="P48" s="65"/>
    </row>
    <row r="49" spans="10:20">
      <c r="J49" s="65"/>
      <c r="K49" s="65"/>
      <c r="L49" s="65"/>
      <c r="M49" s="65"/>
      <c r="N49" s="65"/>
      <c r="P49" s="65"/>
    </row>
    <row r="50" spans="10:20">
      <c r="J50" s="65"/>
      <c r="K50" s="65"/>
      <c r="L50" s="65"/>
      <c r="M50" s="65"/>
      <c r="N50" s="65"/>
      <c r="P50" s="65"/>
      <c r="R50" s="85"/>
    </row>
    <row r="51" spans="10:20">
      <c r="J51" s="65"/>
      <c r="K51" s="65"/>
      <c r="L51" s="65"/>
      <c r="M51" s="65"/>
      <c r="N51" s="65"/>
      <c r="P51" s="65"/>
    </row>
    <row r="52" spans="10:20">
      <c r="J52" s="65"/>
      <c r="K52" s="65"/>
      <c r="L52" s="65"/>
      <c r="M52" s="65"/>
      <c r="N52" s="65"/>
      <c r="P52" s="65"/>
    </row>
    <row r="53" spans="10:20">
      <c r="J53" s="65"/>
      <c r="K53" s="65"/>
      <c r="L53" s="65"/>
      <c r="M53" s="65"/>
      <c r="N53" s="65"/>
      <c r="P53" s="65"/>
    </row>
    <row r="54" spans="10:20">
      <c r="J54" s="65"/>
      <c r="K54" s="65"/>
      <c r="L54" s="65"/>
      <c r="M54" s="65"/>
      <c r="N54" s="65"/>
      <c r="P54" s="65"/>
    </row>
    <row r="55" spans="10:20">
      <c r="J55" s="65"/>
      <c r="K55" s="65"/>
      <c r="L55" s="65"/>
      <c r="M55" s="65"/>
      <c r="N55" s="65"/>
      <c r="P55" s="65"/>
    </row>
    <row r="56" spans="10:20">
      <c r="J56" s="65"/>
      <c r="K56" s="65"/>
      <c r="L56" s="65"/>
      <c r="M56" s="65"/>
      <c r="N56" s="65"/>
      <c r="P56" s="65"/>
    </row>
    <row r="57" spans="10:20">
      <c r="J57" s="65"/>
      <c r="K57" s="65"/>
      <c r="L57" s="65"/>
      <c r="M57" s="65"/>
      <c r="N57" s="65"/>
      <c r="P57" s="65"/>
      <c r="R57" s="71"/>
      <c r="T57" s="71"/>
    </row>
    <row r="58" spans="10:20">
      <c r="J58" s="65"/>
      <c r="K58" s="65"/>
      <c r="L58" s="65"/>
      <c r="M58" s="65"/>
      <c r="N58" s="65"/>
      <c r="P58" s="65"/>
      <c r="R58" s="71"/>
      <c r="T58" s="71"/>
    </row>
    <row r="59" spans="10:20">
      <c r="J59" s="65"/>
      <c r="K59" s="65"/>
      <c r="L59" s="65"/>
      <c r="M59" s="65"/>
      <c r="N59" s="65"/>
      <c r="P59" s="65"/>
      <c r="R59" s="71"/>
      <c r="T59" s="71"/>
    </row>
    <row r="60" spans="10:20">
      <c r="J60" s="65"/>
      <c r="K60" s="65"/>
      <c r="L60" s="65"/>
      <c r="M60" s="65"/>
      <c r="N60" s="65"/>
      <c r="P60" s="65"/>
      <c r="R60" s="71"/>
      <c r="T60" s="71"/>
    </row>
    <row r="61" spans="10:20">
      <c r="J61" s="65"/>
      <c r="K61" s="65"/>
      <c r="L61" s="65"/>
      <c r="M61" s="65"/>
      <c r="N61" s="65"/>
      <c r="P61" s="65"/>
    </row>
    <row r="62" spans="10:20">
      <c r="J62" s="65"/>
      <c r="K62" s="65"/>
      <c r="L62" s="65"/>
      <c r="M62" s="65"/>
      <c r="N62" s="65"/>
      <c r="P62" s="65"/>
    </row>
    <row r="63" spans="10:20">
      <c r="J63" s="65"/>
      <c r="K63" s="65"/>
      <c r="L63" s="65"/>
      <c r="M63" s="65"/>
      <c r="N63" s="65"/>
      <c r="P63" s="65"/>
    </row>
    <row r="64" spans="10:20">
      <c r="J64" s="65"/>
      <c r="K64" s="65"/>
      <c r="L64" s="65"/>
      <c r="M64" s="65"/>
      <c r="N64" s="65"/>
      <c r="P64" s="65"/>
    </row>
    <row r="65" spans="10:16">
      <c r="J65" s="65"/>
      <c r="K65" s="65"/>
      <c r="L65" s="65"/>
      <c r="M65" s="65"/>
      <c r="N65" s="65"/>
      <c r="P65" s="65"/>
    </row>
    <row r="66" spans="10:16">
      <c r="J66" s="65"/>
      <c r="K66" s="65"/>
      <c r="L66" s="65"/>
      <c r="M66" s="65"/>
      <c r="N66" s="65"/>
      <c r="P66" s="65"/>
    </row>
    <row r="67" spans="10:16">
      <c r="J67" s="65"/>
      <c r="K67" s="65"/>
      <c r="L67" s="65"/>
      <c r="M67" s="65"/>
      <c r="N67" s="65"/>
      <c r="P67" s="65"/>
    </row>
    <row r="68" spans="10:16">
      <c r="J68" s="65"/>
      <c r="K68" s="65"/>
      <c r="L68" s="65"/>
      <c r="M68" s="65"/>
      <c r="N68" s="65"/>
      <c r="P68" s="65"/>
    </row>
    <row r="69" spans="10:16">
      <c r="J69" s="65"/>
      <c r="K69" s="65"/>
      <c r="L69" s="65"/>
      <c r="M69" s="65"/>
      <c r="N69" s="65"/>
      <c r="P69" s="65"/>
    </row>
    <row r="70" spans="10:16">
      <c r="J70" s="65"/>
      <c r="K70" s="65"/>
      <c r="L70" s="65"/>
      <c r="M70" s="65"/>
      <c r="N70" s="65"/>
      <c r="P70" s="65"/>
    </row>
    <row r="71" spans="10:16">
      <c r="J71" s="65"/>
      <c r="K71" s="65"/>
      <c r="L71" s="65"/>
      <c r="M71" s="65"/>
      <c r="N71" s="65"/>
      <c r="P71" s="65"/>
    </row>
    <row r="72" spans="10:16">
      <c r="J72" s="65"/>
      <c r="K72" s="65"/>
      <c r="L72" s="65"/>
      <c r="M72" s="65"/>
      <c r="N72" s="65"/>
      <c r="P72" s="65"/>
    </row>
    <row r="73" spans="10:16">
      <c r="J73" s="65"/>
      <c r="K73" s="65"/>
      <c r="L73" s="65"/>
      <c r="M73" s="65"/>
      <c r="N73" s="65"/>
      <c r="P73" s="65"/>
    </row>
    <row r="74" spans="10:16">
      <c r="J74" s="65"/>
      <c r="K74" s="65"/>
      <c r="L74" s="65"/>
      <c r="M74" s="65"/>
      <c r="N74" s="65"/>
      <c r="P74" s="65"/>
    </row>
    <row r="75" spans="10:16">
      <c r="J75" s="65"/>
      <c r="K75" s="65"/>
      <c r="L75" s="65"/>
      <c r="M75" s="65"/>
      <c r="N75" s="65"/>
      <c r="P75" s="65"/>
    </row>
    <row r="76" spans="10:16">
      <c r="J76" s="65"/>
      <c r="K76" s="65"/>
      <c r="L76" s="65"/>
      <c r="M76" s="65"/>
      <c r="N76" s="65"/>
      <c r="P76" s="65"/>
    </row>
    <row r="77" spans="10:16">
      <c r="J77" s="65"/>
      <c r="K77" s="65"/>
      <c r="L77" s="65"/>
      <c r="M77" s="65"/>
      <c r="N77" s="65"/>
      <c r="P77" s="65"/>
    </row>
    <row r="78" spans="10:16">
      <c r="J78" s="65"/>
      <c r="K78" s="65"/>
      <c r="L78" s="65"/>
      <c r="M78" s="65"/>
      <c r="N78" s="65"/>
      <c r="P78" s="65"/>
    </row>
    <row r="79" spans="10:16">
      <c r="J79" s="65"/>
      <c r="K79" s="65"/>
      <c r="L79" s="65"/>
      <c r="M79" s="65"/>
      <c r="N79" s="65"/>
      <c r="P79" s="65"/>
    </row>
    <row r="80" spans="10:16">
      <c r="J80" s="65"/>
      <c r="K80" s="65"/>
      <c r="L80" s="65"/>
      <c r="M80" s="65"/>
      <c r="N80" s="65"/>
      <c r="P80" s="65"/>
    </row>
    <row r="81" spans="10:16">
      <c r="J81" s="65"/>
      <c r="K81" s="65"/>
      <c r="L81" s="65"/>
      <c r="M81" s="65"/>
      <c r="N81" s="65"/>
      <c r="P81" s="65"/>
    </row>
    <row r="82" spans="10:16">
      <c r="J82" s="65"/>
      <c r="K82" s="65"/>
      <c r="L82" s="65"/>
      <c r="M82" s="65"/>
      <c r="N82" s="65"/>
      <c r="P82" s="65"/>
    </row>
  </sheetData>
  <pageMargins left="0.7" right="0.7" top="0.75" bottom="0.75" header="0.3" footer="0.3"/>
  <headerFooter>
    <oddFooter>&amp;L_x000D_&amp;1#&amp;"Arial"&amp;10&amp;K000000 Classification - Public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25C24-92FB-465A-9C7A-071AB09449C6}">
  <sheetPr>
    <tabColor theme="4" tint="0.39997558519241921"/>
  </sheetPr>
  <dimension ref="B2:Y46"/>
  <sheetViews>
    <sheetView topLeftCell="C8" zoomScale="246" zoomScaleNormal="246" workbookViewId="0">
      <selection activeCell="I18" sqref="I18"/>
    </sheetView>
  </sheetViews>
  <sheetFormatPr baseColWidth="10" defaultColWidth="8.83203125" defaultRowHeight="15"/>
  <cols>
    <col min="1" max="1" width="3.33203125" customWidth="1"/>
    <col min="2" max="2" width="20.1640625" customWidth="1"/>
    <col min="3" max="3" width="8.1640625" customWidth="1"/>
    <col min="4" max="4" width="2.83203125" customWidth="1"/>
    <col min="5" max="5" width="21" customWidth="1"/>
    <col min="6" max="6" width="11.5" customWidth="1"/>
    <col min="7" max="25" width="9.5" customWidth="1"/>
  </cols>
  <sheetData>
    <row r="2" spans="2:25">
      <c r="B2" s="114" t="s">
        <v>146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</row>
    <row r="3" spans="2:25">
      <c r="B3" s="113" t="s">
        <v>147</v>
      </c>
    </row>
    <row r="5" spans="2:25">
      <c r="B5" s="97" t="s">
        <v>128</v>
      </c>
      <c r="C5" s="101">
        <v>0.03</v>
      </c>
      <c r="E5" s="65" t="s">
        <v>123</v>
      </c>
      <c r="F5" s="100">
        <v>1</v>
      </c>
      <c r="G5" s="100">
        <f>F5*(1+Proforma!$C$7)</f>
        <v>1.03</v>
      </c>
      <c r="H5" s="100">
        <f>G5*(1+Proforma!$C$7)</f>
        <v>1.0609</v>
      </c>
      <c r="I5" s="100">
        <f>H5*(1+Proforma!$C$7)</f>
        <v>1.092727</v>
      </c>
      <c r="J5" s="100">
        <f>I5*(1+Proforma!$C$7)</f>
        <v>1.1255088100000001</v>
      </c>
      <c r="K5" s="100">
        <f>J5*(1+Proforma!$C$7)</f>
        <v>1.1592740743000001</v>
      </c>
      <c r="L5" s="100">
        <f>K5*(1+Proforma!$C$7)</f>
        <v>1.1940522965290001</v>
      </c>
      <c r="M5" s="100">
        <f>L5*(1+Proforma!$C$7)</f>
        <v>1.2298738654248702</v>
      </c>
      <c r="N5" s="100">
        <f>M5*(1+Proforma!$C$7)</f>
        <v>1.2667700813876164</v>
      </c>
      <c r="O5" s="100">
        <f>N5*(1+Proforma!$C$7)</f>
        <v>1.3047731838292449</v>
      </c>
      <c r="P5" s="100">
        <f>O5*(1+Proforma!$C$7)</f>
        <v>1.3439163793441222</v>
      </c>
      <c r="Q5" s="100">
        <f>P5*(1+Proforma!$C$7)</f>
        <v>1.3842338707244459</v>
      </c>
      <c r="R5" s="100">
        <f>Q5*(1+Proforma!$C$7)</f>
        <v>1.4257608868461793</v>
      </c>
      <c r="S5" s="100">
        <f>R5*(1+Proforma!$C$7)</f>
        <v>1.4685337134515648</v>
      </c>
      <c r="T5" s="100">
        <f>S5*(1+Proforma!$C$7)</f>
        <v>1.5125897248551119</v>
      </c>
      <c r="U5" s="100">
        <f>T5*(1+Proforma!$C$7)</f>
        <v>1.5579674166007653</v>
      </c>
      <c r="V5" s="100">
        <f>U5*(1+Proforma!$C$7)</f>
        <v>1.6047064390987884</v>
      </c>
      <c r="W5" s="100">
        <f>V5*(1+Proforma!$C$7)</f>
        <v>1.652847632271752</v>
      </c>
      <c r="X5" s="100">
        <f>W5*(1+Proforma!$C$7)</f>
        <v>1.7024330612399046</v>
      </c>
      <c r="Y5" s="100">
        <f>X5*(1+Proforma!$C$7)</f>
        <v>1.7535060530771018</v>
      </c>
    </row>
    <row r="6" spans="2:25">
      <c r="B6" s="97" t="s">
        <v>129</v>
      </c>
      <c r="C6" s="101">
        <v>0.03</v>
      </c>
      <c r="E6" s="96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</row>
    <row r="7" spans="2:25">
      <c r="B7" s="97" t="s">
        <v>123</v>
      </c>
      <c r="C7" s="101">
        <v>0.03</v>
      </c>
      <c r="E7" s="97"/>
      <c r="F7" s="95">
        <v>2026</v>
      </c>
      <c r="G7" s="95">
        <f t="shared" ref="G7:Y7" si="0">F7+1</f>
        <v>2027</v>
      </c>
      <c r="H7" s="95">
        <f t="shared" si="0"/>
        <v>2028</v>
      </c>
      <c r="I7" s="95">
        <f t="shared" si="0"/>
        <v>2029</v>
      </c>
      <c r="J7" s="95">
        <f t="shared" si="0"/>
        <v>2030</v>
      </c>
      <c r="K7" s="95">
        <f t="shared" si="0"/>
        <v>2031</v>
      </c>
      <c r="L7" s="95">
        <f t="shared" si="0"/>
        <v>2032</v>
      </c>
      <c r="M7" s="95">
        <f t="shared" si="0"/>
        <v>2033</v>
      </c>
      <c r="N7" s="95">
        <f t="shared" si="0"/>
        <v>2034</v>
      </c>
      <c r="O7" s="95">
        <f t="shared" si="0"/>
        <v>2035</v>
      </c>
      <c r="P7" s="76">
        <f t="shared" si="0"/>
        <v>2036</v>
      </c>
      <c r="Q7" s="76">
        <f t="shared" si="0"/>
        <v>2037</v>
      </c>
      <c r="R7" s="76">
        <f t="shared" si="0"/>
        <v>2038</v>
      </c>
      <c r="S7" s="76">
        <f t="shared" si="0"/>
        <v>2039</v>
      </c>
      <c r="T7" s="76">
        <f t="shared" si="0"/>
        <v>2040</v>
      </c>
      <c r="U7" s="76">
        <f t="shared" si="0"/>
        <v>2041</v>
      </c>
      <c r="V7" s="76">
        <f t="shared" si="0"/>
        <v>2042</v>
      </c>
      <c r="W7" s="76">
        <f t="shared" si="0"/>
        <v>2043</v>
      </c>
      <c r="X7" s="76">
        <f t="shared" si="0"/>
        <v>2044</v>
      </c>
      <c r="Y7" s="76">
        <f t="shared" si="0"/>
        <v>2045</v>
      </c>
    </row>
    <row r="8" spans="2:25">
      <c r="B8" s="97" t="s">
        <v>130</v>
      </c>
      <c r="C8" s="101">
        <v>2.5000000000000001E-2</v>
      </c>
      <c r="E8" s="97" t="s">
        <v>126</v>
      </c>
      <c r="F8" s="109">
        <f>'P&amp;L'!D11</f>
        <v>2173681.6</v>
      </c>
      <c r="G8" s="109">
        <f>'P&amp;L'!F11</f>
        <v>2303579.9519999996</v>
      </c>
      <c r="H8" s="109">
        <f>'P&amp;L'!H11</f>
        <v>2450270.7233792003</v>
      </c>
      <c r="I8" s="109">
        <f>'P&amp;L'!J11</f>
        <v>2565601.2801403916</v>
      </c>
      <c r="J8" s="109">
        <f>'P&amp;L'!L11</f>
        <v>2668650.8279910078</v>
      </c>
      <c r="K8" s="109">
        <f>'P&amp;L'!N11</f>
        <v>2775843.6325878981</v>
      </c>
      <c r="L8" s="109">
        <f>'P&amp;L'!P11</f>
        <v>2868868.8252382516</v>
      </c>
      <c r="M8" s="109">
        <f>'P&amp;L'!R11</f>
        <v>2984116.1438014493</v>
      </c>
      <c r="N8" s="109">
        <f>M8*(1+Proforma!$C$6)</f>
        <v>3073639.6281154929</v>
      </c>
      <c r="O8" s="109">
        <f>N8*(1+Proforma!$C$6)</f>
        <v>3165848.8169589578</v>
      </c>
      <c r="P8" s="110">
        <f>O8*(1+Proforma!$C$6)</f>
        <v>3260824.2814677265</v>
      </c>
      <c r="Q8" s="110">
        <f>P8*(1+Proforma!$C$6)</f>
        <v>3358649.0099117584</v>
      </c>
      <c r="R8" s="110">
        <f>Q8*(1+Proforma!$C$6)</f>
        <v>3459408.4802091112</v>
      </c>
      <c r="S8" s="110">
        <f>R8*(1+Proforma!$C$6)</f>
        <v>3563190.7346153846</v>
      </c>
      <c r="T8" s="110">
        <f>S8*(1+Proforma!$C$6)</f>
        <v>3670086.4566538464</v>
      </c>
      <c r="U8" s="110">
        <f>T8*(1+Proforma!$C$6)</f>
        <v>3780189.0503534619</v>
      </c>
      <c r="V8" s="110">
        <f>U8*(1+Proforma!$C$6)</f>
        <v>3893594.7218640656</v>
      </c>
      <c r="W8" s="110">
        <f>V8*(1+Proforma!$C$6)</f>
        <v>4010402.5635199877</v>
      </c>
      <c r="X8" s="110">
        <f>W8*(1+Proforma!$C$6)</f>
        <v>4130714.6404255875</v>
      </c>
      <c r="Y8" s="110">
        <f>X8*(1+Proforma!$C$6)</f>
        <v>4254636.0796383554</v>
      </c>
    </row>
    <row r="9" spans="2:25">
      <c r="B9" s="97" t="s">
        <v>131</v>
      </c>
      <c r="C9" s="101">
        <v>7.0000000000000007E-2</v>
      </c>
      <c r="E9" s="97" t="s">
        <v>0</v>
      </c>
      <c r="F9" s="109">
        <f>'P&amp;L'!D37</f>
        <v>476530.67966069444</v>
      </c>
      <c r="G9" s="109">
        <f>'P&amp;L'!F37</f>
        <v>582670.13915963995</v>
      </c>
      <c r="H9" s="109">
        <f>'P&amp;L'!H37</f>
        <v>679280.85562352883</v>
      </c>
      <c r="I9" s="109">
        <f>'P&amp;L'!J37</f>
        <v>748487.90333464136</v>
      </c>
      <c r="J9" s="109">
        <f>'P&amp;L'!L37</f>
        <v>804341.45719745255</v>
      </c>
      <c r="K9" s="109">
        <f>'P&amp;L'!N37</f>
        <v>861936.92345808144</v>
      </c>
      <c r="L9" s="109">
        <f>'P&amp;L'!P37</f>
        <v>906930.76894388429</v>
      </c>
      <c r="M9" s="109">
        <f>'P&amp;L'!R37</f>
        <v>962461.44666697131</v>
      </c>
      <c r="N9" s="109">
        <f>M9*(1+Proforma!$C$5)</f>
        <v>991335.29006698052</v>
      </c>
      <c r="O9" s="109">
        <f>N9*(1+Proforma!$C$5)</f>
        <v>1021075.34876899</v>
      </c>
      <c r="P9" s="109">
        <f>O9*(1+Proforma!$C$5)</f>
        <v>1051707.6092320597</v>
      </c>
      <c r="Q9" s="109">
        <f>P9*(1+Proforma!$C$5)</f>
        <v>1083258.8375090214</v>
      </c>
      <c r="R9" s="109">
        <f>Q9*(1+Proforma!$C$5)</f>
        <v>1115756.6026342921</v>
      </c>
      <c r="S9" s="109">
        <f>R9*(1+Proforma!$C$5)</f>
        <v>1149229.300713321</v>
      </c>
      <c r="T9" s="109">
        <f>S9*(1+Proforma!$C$5)</f>
        <v>1183706.1797347206</v>
      </c>
      <c r="U9" s="109">
        <f>T9*(1+Proforma!$C$5)</f>
        <v>1219217.3651267623</v>
      </c>
      <c r="V9" s="109">
        <f>U9*(1+Proforma!$C$5)</f>
        <v>1255793.8860805652</v>
      </c>
      <c r="W9" s="109">
        <f>V9*(1+Proforma!$C$5)</f>
        <v>1293467.702662982</v>
      </c>
      <c r="X9" s="109">
        <f>W9*(1+Proforma!$C$5)</f>
        <v>1332271.7337428716</v>
      </c>
      <c r="Y9" s="109">
        <f>X9*(1+Proforma!$C$5)</f>
        <v>1372239.8857551578</v>
      </c>
    </row>
    <row r="10" spans="2:25">
      <c r="B10" s="97" t="s">
        <v>132</v>
      </c>
      <c r="C10" s="101">
        <v>2.5000000000000001E-2</v>
      </c>
      <c r="E10" s="97" t="s">
        <v>122</v>
      </c>
      <c r="F10" s="109">
        <f>F8*Proforma!$C$6</f>
        <v>65210.448000000004</v>
      </c>
      <c r="G10" s="109">
        <f>G8*Proforma!$C$6</f>
        <v>69107.398559999987</v>
      </c>
      <c r="H10" s="109">
        <f>H8*Proforma!$C$6</f>
        <v>73508.121701376003</v>
      </c>
      <c r="I10" s="109">
        <f>I8*Proforma!$C$6</f>
        <v>76968.038404211737</v>
      </c>
      <c r="J10" s="109">
        <f>J8*Proforma!$C$6</f>
        <v>80059.524839730235</v>
      </c>
      <c r="K10" s="109">
        <f>K8*Proforma!$C$6</f>
        <v>83275.308977636945</v>
      </c>
      <c r="L10" s="109">
        <f>L8*Proforma!$C$6</f>
        <v>86066.064757147542</v>
      </c>
      <c r="M10" s="109">
        <f>M8*Proforma!$C$6</f>
        <v>89523.484314043482</v>
      </c>
      <c r="N10" s="109">
        <f>N8*Proforma!$C$6</f>
        <v>92209.188843464784</v>
      </c>
      <c r="O10" s="109">
        <f>O8*Proforma!$C$6</f>
        <v>94975.464508768724</v>
      </c>
      <c r="P10" s="109">
        <f>P8*Proforma!$C$6</f>
        <v>97824.728444031789</v>
      </c>
      <c r="Q10" s="109">
        <f>Q8*Proforma!$C$6</f>
        <v>100759.47029735275</v>
      </c>
      <c r="R10" s="109">
        <f>R8*Proforma!$C$6</f>
        <v>103782.25440627334</v>
      </c>
      <c r="S10" s="109">
        <f>S8*Proforma!$C$6</f>
        <v>106895.72203846154</v>
      </c>
      <c r="T10" s="109">
        <f>T8*Proforma!$C$6</f>
        <v>110102.59369961539</v>
      </c>
      <c r="U10" s="109">
        <f>U8*Proforma!$C$6</f>
        <v>113405.67151060385</v>
      </c>
      <c r="V10" s="109">
        <f>V8*Proforma!$C$6</f>
        <v>116807.84165592196</v>
      </c>
      <c r="W10" s="109">
        <f>W8*Proforma!$C$6</f>
        <v>120312.07690559962</v>
      </c>
      <c r="X10" s="109">
        <f>X8*Proforma!$C$6</f>
        <v>123921.43921276763</v>
      </c>
      <c r="Y10" s="109">
        <f>Y8*Proforma!$C$6</f>
        <v>127639.08238915066</v>
      </c>
    </row>
    <row r="11" spans="2:25">
      <c r="B11" s="97" t="s">
        <v>150</v>
      </c>
      <c r="C11" s="101">
        <v>7.4999999999999997E-3</v>
      </c>
      <c r="E11" s="97" t="s">
        <v>125</v>
      </c>
      <c r="F11" s="109">
        <f>F8*Proforma!$C$8</f>
        <v>54342.040000000008</v>
      </c>
      <c r="G11" s="109">
        <f>G8*Proforma!$C$8</f>
        <v>57589.498799999994</v>
      </c>
      <c r="H11" s="109">
        <f>H8*Proforma!$C$8</f>
        <v>61256.768084480012</v>
      </c>
      <c r="I11" s="109">
        <f>I8*Proforma!$C$8</f>
        <v>64140.03200350979</v>
      </c>
      <c r="J11" s="109">
        <f>J8*Proforma!$C$8</f>
        <v>66716.270699775196</v>
      </c>
      <c r="K11" s="109">
        <f>K8*Proforma!$C$8</f>
        <v>69396.090814697454</v>
      </c>
      <c r="L11" s="109">
        <f>L8*Proforma!$C$8</f>
        <v>71721.72063095629</v>
      </c>
      <c r="M11" s="109">
        <f>M8*Proforma!$C$8</f>
        <v>74602.90359503623</v>
      </c>
      <c r="N11" s="109">
        <f>N8*Proforma!$C$8</f>
        <v>76840.990702887328</v>
      </c>
      <c r="O11" s="109">
        <f>O8*Proforma!$C$8</f>
        <v>79146.220423973951</v>
      </c>
      <c r="P11" s="109">
        <f>P8*Proforma!$C$8</f>
        <v>81520.607036693167</v>
      </c>
      <c r="Q11" s="109">
        <f>Q8*Proforma!$C$8</f>
        <v>83966.225247793962</v>
      </c>
      <c r="R11" s="109">
        <f>R8*Proforma!$C$8</f>
        <v>86485.21200522779</v>
      </c>
      <c r="S11" s="109">
        <f>S8*Proforma!$C$8</f>
        <v>89079.768365384618</v>
      </c>
      <c r="T11" s="109">
        <f>T8*Proforma!$C$8</f>
        <v>91752.161416346164</v>
      </c>
      <c r="U11" s="109">
        <f>U8*Proforma!$C$8</f>
        <v>94504.726258836556</v>
      </c>
      <c r="V11" s="109">
        <f>V8*Proforma!$C$8</f>
        <v>97339.868046601652</v>
      </c>
      <c r="W11" s="109">
        <f>W8*Proforma!$C$8</f>
        <v>100260.06408799969</v>
      </c>
      <c r="X11" s="109">
        <f>X8*Proforma!$C$8</f>
        <v>103267.8660106397</v>
      </c>
      <c r="Y11" s="109">
        <f>Y8*Proforma!$C$8</f>
        <v>106365.9019909589</v>
      </c>
    </row>
    <row r="12" spans="2:25">
      <c r="B12" s="97" t="s">
        <v>145</v>
      </c>
      <c r="C12" s="101">
        <v>0.06</v>
      </c>
      <c r="E12" s="97" t="s">
        <v>127</v>
      </c>
      <c r="F12" s="109">
        <f>F9*Proforma!$C$9</f>
        <v>33357.147576248615</v>
      </c>
      <c r="G12" s="109">
        <f>G9*Proforma!$C$9</f>
        <v>40786.909741174801</v>
      </c>
      <c r="H12" s="109">
        <f>H9*Proforma!$C$9</f>
        <v>47549.659893647025</v>
      </c>
      <c r="I12" s="109">
        <f>I9*Proforma!$C$9</f>
        <v>52394.153233424899</v>
      </c>
      <c r="J12" s="109">
        <f>J9*Proforma!$C$9</f>
        <v>56303.902003821684</v>
      </c>
      <c r="K12" s="109">
        <f>K9*Proforma!$C$9</f>
        <v>60335.584642065704</v>
      </c>
      <c r="L12" s="109">
        <f>L9*Proforma!$C$9</f>
        <v>63485.15382607191</v>
      </c>
      <c r="M12" s="109">
        <f>M9*Proforma!$C$9</f>
        <v>67372.301266687995</v>
      </c>
      <c r="N12" s="109">
        <f>N9*Proforma!$C$9</f>
        <v>69393.470304688642</v>
      </c>
      <c r="O12" s="109">
        <f>O9*Proforma!$C$9</f>
        <v>71475.274413829306</v>
      </c>
      <c r="P12" s="109">
        <f>P9*Proforma!$C$9</f>
        <v>73619.532646244188</v>
      </c>
      <c r="Q12" s="109">
        <f>Q9*Proforma!$C$9</f>
        <v>75828.118625631498</v>
      </c>
      <c r="R12" s="109">
        <f>R9*Proforma!$C$9</f>
        <v>78102.962184400458</v>
      </c>
      <c r="S12" s="109">
        <f>S9*Proforma!$C$9</f>
        <v>80446.051049932474</v>
      </c>
      <c r="T12" s="109">
        <f>T9*Proforma!$C$9</f>
        <v>82859.432581430447</v>
      </c>
      <c r="U12" s="109">
        <f>U9*Proforma!$C$9</f>
        <v>85345.215558873373</v>
      </c>
      <c r="V12" s="109">
        <f>V9*Proforma!$C$9</f>
        <v>87905.572025639573</v>
      </c>
      <c r="W12" s="109">
        <f>W9*Proforma!$C$9</f>
        <v>90542.739186408755</v>
      </c>
      <c r="X12" s="109">
        <f>X9*Proforma!$C$9</f>
        <v>93259.021362001018</v>
      </c>
      <c r="Y12" s="109">
        <f>Y9*Proforma!$C$9</f>
        <v>96056.792002861053</v>
      </c>
    </row>
    <row r="13" spans="2:25">
      <c r="B13" s="97" t="s">
        <v>144</v>
      </c>
      <c r="C13" s="101">
        <v>0.01</v>
      </c>
      <c r="E13" s="97" t="s">
        <v>88</v>
      </c>
      <c r="F13" s="109" cm="1">
        <f t="array" ref="F13">SUM(F9,-F10:F12)</f>
        <v>323621.04408444581</v>
      </c>
      <c r="G13" s="109" cm="1">
        <f t="array" ref="G13">SUM(G9,-G10:G12)</f>
        <v>415186.33205846517</v>
      </c>
      <c r="H13" s="109" cm="1">
        <f t="array" ref="H13">SUM(H9,-H10:H12)</f>
        <v>496966.30594402581</v>
      </c>
      <c r="I13" s="109" cm="1">
        <f t="array" ref="I13">SUM(I9,-I10:I12)</f>
        <v>554985.67969349492</v>
      </c>
      <c r="J13" s="109" cm="1">
        <f t="array" ref="J13">SUM(J9,-J10:J12)</f>
        <v>601261.75965412543</v>
      </c>
      <c r="K13" s="109" cm="1">
        <f t="array" ref="K13">SUM(K9,-K10:K12)</f>
        <v>648929.93902368133</v>
      </c>
      <c r="L13" s="109" cm="1">
        <f t="array" ref="L13">SUM(L9,-L10:L12)</f>
        <v>685657.82972970861</v>
      </c>
      <c r="M13" s="109" cm="1">
        <f t="array" ref="M13">SUM(M9,-M10:M12)</f>
        <v>730962.75749120349</v>
      </c>
      <c r="N13" s="109" cm="1">
        <f t="array" ref="N13">SUM(N9,-N10:N12)</f>
        <v>752891.64021593973</v>
      </c>
      <c r="O13" s="109" cm="1">
        <f t="array" ref="O13">SUM(O9,-O10:O12)</f>
        <v>775478.38942241797</v>
      </c>
      <c r="P13" s="109" cm="1">
        <f t="array" ref="P13">SUM(P9,-P10:P12)</f>
        <v>798742.74110509059</v>
      </c>
      <c r="Q13" s="109" cm="1">
        <f t="array" ref="Q13">SUM(Q9,-Q10:Q12)</f>
        <v>822705.02333824313</v>
      </c>
      <c r="R13" s="109" cm="1">
        <f t="array" ref="R13">SUM(R9,-R10:R12)</f>
        <v>847386.17403839051</v>
      </c>
      <c r="S13" s="109" cm="1">
        <f t="array" ref="S13">SUM(S9,-S10:S12)</f>
        <v>872807.75925954222</v>
      </c>
      <c r="T13" s="109" cm="1">
        <f t="array" ref="T13">SUM(T9,-T10:T12)</f>
        <v>898991.99203732854</v>
      </c>
      <c r="U13" s="109" cm="1">
        <f t="array" ref="U13">SUM(U9,-U10:U12)</f>
        <v>925961.75179844862</v>
      </c>
      <c r="V13" s="109" cm="1">
        <f t="array" ref="V13">SUM(V9,-V10:V12)</f>
        <v>953740.60435240204</v>
      </c>
      <c r="W13" s="109" cm="1">
        <f t="array" ref="W13">SUM(W9,-W10:W12)</f>
        <v>982352.82248297404</v>
      </c>
      <c r="X13" s="109" cm="1">
        <f t="array" ref="X13">SUM(X9,-X10:X12)</f>
        <v>1011823.407157463</v>
      </c>
      <c r="Y13" s="109" cm="1">
        <f t="array" ref="Y13">SUM(Y9,-Y10:Y12)</f>
        <v>1042178.1093721871</v>
      </c>
    </row>
    <row r="14" spans="2:25">
      <c r="B14" s="97" t="s">
        <v>133</v>
      </c>
      <c r="C14" s="101">
        <v>0.65</v>
      </c>
      <c r="E14" s="97" t="s">
        <v>107</v>
      </c>
      <c r="F14" s="88">
        <f t="shared" ref="F14:Y14" si="1">F13/F8</f>
        <v>0.14888153080214039</v>
      </c>
      <c r="G14" s="88">
        <f t="shared" si="1"/>
        <v>0.18023526020791886</v>
      </c>
      <c r="H14" s="88">
        <f t="shared" si="1"/>
        <v>0.20282097859727644</v>
      </c>
      <c r="I14" s="88">
        <f t="shared" si="1"/>
        <v>0.21631797738389252</v>
      </c>
      <c r="J14" s="88">
        <f t="shared" si="1"/>
        <v>0.22530551893398601</v>
      </c>
      <c r="K14" s="88">
        <f t="shared" si="1"/>
        <v>0.23377755555297214</v>
      </c>
      <c r="L14" s="88">
        <f t="shared" si="1"/>
        <v>0.23899936577712527</v>
      </c>
      <c r="M14" s="88">
        <f t="shared" si="1"/>
        <v>0.24495117557992699</v>
      </c>
      <c r="N14" s="88">
        <f t="shared" si="1"/>
        <v>0.24495117557992704</v>
      </c>
      <c r="O14" s="88">
        <f t="shared" si="1"/>
        <v>0.24495117557992704</v>
      </c>
      <c r="P14" s="88">
        <f t="shared" si="1"/>
        <v>0.24495117557992707</v>
      </c>
      <c r="Q14" s="88">
        <f t="shared" si="1"/>
        <v>0.24495117557992702</v>
      </c>
      <c r="R14" s="88">
        <f t="shared" si="1"/>
        <v>0.24495117557992702</v>
      </c>
      <c r="S14" s="88">
        <f t="shared" si="1"/>
        <v>0.24495117557992702</v>
      </c>
      <c r="T14" s="88">
        <f t="shared" si="1"/>
        <v>0.24495117557992702</v>
      </c>
      <c r="U14" s="88">
        <f t="shared" si="1"/>
        <v>0.24495117557992707</v>
      </c>
      <c r="V14" s="88">
        <f t="shared" si="1"/>
        <v>0.24495117557992707</v>
      </c>
      <c r="W14" s="88">
        <f t="shared" si="1"/>
        <v>0.24495117557992704</v>
      </c>
      <c r="X14" s="88">
        <f t="shared" si="1"/>
        <v>0.24495117557992699</v>
      </c>
      <c r="Y14" s="88">
        <f t="shared" si="1"/>
        <v>0.24495117557992699</v>
      </c>
    </row>
    <row r="15" spans="2:25">
      <c r="B15" s="97" t="s">
        <v>134</v>
      </c>
      <c r="C15" s="101">
        <v>0.03</v>
      </c>
      <c r="E15" s="97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2:25">
      <c r="B16" s="97" t="s">
        <v>143</v>
      </c>
      <c r="C16" s="101">
        <v>1.4999999999999999E-2</v>
      </c>
      <c r="E16" s="98" t="s">
        <v>108</v>
      </c>
      <c r="F16" s="110">
        <v>-12500000</v>
      </c>
      <c r="G16" s="110"/>
      <c r="H16" s="110"/>
      <c r="I16" s="110">
        <v>4000000</v>
      </c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</row>
    <row r="17" spans="5:25">
      <c r="E17" s="98" t="s">
        <v>109</v>
      </c>
      <c r="F17" s="110">
        <f>SUM(F16:I16)*Proforma!C11</f>
        <v>-63750</v>
      </c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5:25">
      <c r="E18" s="98" t="s">
        <v>124</v>
      </c>
      <c r="F18" s="110"/>
      <c r="G18" s="110"/>
      <c r="H18" s="110"/>
      <c r="I18" s="110">
        <f>SUM(F16:I16)*Proforma!C10</f>
        <v>-212500</v>
      </c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</row>
    <row r="19" spans="5:25">
      <c r="E19" s="76" t="s">
        <v>88</v>
      </c>
      <c r="F19" s="110"/>
      <c r="G19" s="110"/>
      <c r="H19" s="110"/>
      <c r="I19" s="110">
        <f t="shared" ref="I19:Y19" si="2">I13</f>
        <v>554985.67969349492</v>
      </c>
      <c r="J19" s="110">
        <f t="shared" si="2"/>
        <v>601261.75965412543</v>
      </c>
      <c r="K19" s="110">
        <f t="shared" si="2"/>
        <v>648929.93902368133</v>
      </c>
      <c r="L19" s="110">
        <f t="shared" si="2"/>
        <v>685657.82972970861</v>
      </c>
      <c r="M19" s="110">
        <f t="shared" si="2"/>
        <v>730962.75749120349</v>
      </c>
      <c r="N19" s="110">
        <f t="shared" si="2"/>
        <v>752891.64021593973</v>
      </c>
      <c r="O19" s="110">
        <f t="shared" si="2"/>
        <v>775478.38942241797</v>
      </c>
      <c r="P19" s="110">
        <f t="shared" si="2"/>
        <v>798742.74110509059</v>
      </c>
      <c r="Q19" s="110">
        <f t="shared" si="2"/>
        <v>822705.02333824313</v>
      </c>
      <c r="R19" s="110">
        <f t="shared" si="2"/>
        <v>847386.17403839051</v>
      </c>
      <c r="S19" s="110">
        <f t="shared" si="2"/>
        <v>872807.75925954222</v>
      </c>
      <c r="T19" s="110">
        <f t="shared" si="2"/>
        <v>898991.99203732854</v>
      </c>
      <c r="U19" s="110">
        <f t="shared" si="2"/>
        <v>925961.75179844862</v>
      </c>
      <c r="V19" s="110">
        <f t="shared" si="2"/>
        <v>953740.60435240204</v>
      </c>
      <c r="W19" s="110">
        <f t="shared" si="2"/>
        <v>982352.82248297404</v>
      </c>
      <c r="X19" s="110">
        <f t="shared" si="2"/>
        <v>1011823.407157463</v>
      </c>
      <c r="Y19" s="110">
        <f t="shared" si="2"/>
        <v>1042178.1093721871</v>
      </c>
    </row>
    <row r="20" spans="5:25">
      <c r="E20" s="98" t="s">
        <v>91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>
        <f>Y13/Proforma!C12</f>
        <v>17369635.156203117</v>
      </c>
    </row>
    <row r="21" spans="5:25">
      <c r="E21" s="98" t="s">
        <v>144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>
        <f>-Y20*Proforma!C13</f>
        <v>-173696.35156203117</v>
      </c>
    </row>
    <row r="22" spans="5:25">
      <c r="E22" s="76" t="s">
        <v>111</v>
      </c>
      <c r="F22" s="111">
        <f t="shared" ref="F22:Y22" si="3">SUM(F16:F21)</f>
        <v>-12563750</v>
      </c>
      <c r="G22" s="111">
        <f t="shared" si="3"/>
        <v>0</v>
      </c>
      <c r="H22" s="111">
        <f t="shared" si="3"/>
        <v>0</v>
      </c>
      <c r="I22" s="111">
        <f t="shared" si="3"/>
        <v>4342485.6796934949</v>
      </c>
      <c r="J22" s="111">
        <f t="shared" si="3"/>
        <v>601261.75965412543</v>
      </c>
      <c r="K22" s="111">
        <f t="shared" si="3"/>
        <v>648929.93902368133</v>
      </c>
      <c r="L22" s="111">
        <f t="shared" si="3"/>
        <v>685657.82972970861</v>
      </c>
      <c r="M22" s="111">
        <f t="shared" si="3"/>
        <v>730962.75749120349</v>
      </c>
      <c r="N22" s="111">
        <f t="shared" si="3"/>
        <v>752891.64021593973</v>
      </c>
      <c r="O22" s="111">
        <f t="shared" si="3"/>
        <v>775478.38942241797</v>
      </c>
      <c r="P22" s="111">
        <f t="shared" si="3"/>
        <v>798742.74110509059</v>
      </c>
      <c r="Q22" s="111">
        <f t="shared" si="3"/>
        <v>822705.02333824313</v>
      </c>
      <c r="R22" s="111">
        <f t="shared" si="3"/>
        <v>847386.17403839051</v>
      </c>
      <c r="S22" s="111">
        <f t="shared" si="3"/>
        <v>872807.75925954222</v>
      </c>
      <c r="T22" s="111">
        <f t="shared" si="3"/>
        <v>898991.99203732854</v>
      </c>
      <c r="U22" s="111">
        <f t="shared" si="3"/>
        <v>925961.75179844862</v>
      </c>
      <c r="V22" s="111">
        <f t="shared" si="3"/>
        <v>953740.60435240204</v>
      </c>
      <c r="W22" s="111">
        <f t="shared" si="3"/>
        <v>982352.82248297404</v>
      </c>
      <c r="X22" s="111">
        <f t="shared" si="3"/>
        <v>1011823.407157463</v>
      </c>
      <c r="Y22" s="111">
        <f t="shared" si="3"/>
        <v>18238116.914013274</v>
      </c>
    </row>
    <row r="23" spans="5:25">
      <c r="E23" s="76" t="s">
        <v>93</v>
      </c>
      <c r="F23" s="112">
        <f>F22</f>
        <v>-12563750</v>
      </c>
      <c r="G23" s="112">
        <f t="shared" ref="G23:Y23" si="4">G22+F23</f>
        <v>-12563750</v>
      </c>
      <c r="H23" s="112">
        <f t="shared" si="4"/>
        <v>-12563750</v>
      </c>
      <c r="I23" s="112">
        <f t="shared" si="4"/>
        <v>-8221264.3203065051</v>
      </c>
      <c r="J23" s="112">
        <f t="shared" si="4"/>
        <v>-7620002.5606523799</v>
      </c>
      <c r="K23" s="112">
        <f t="shared" si="4"/>
        <v>-6971072.6216286989</v>
      </c>
      <c r="L23" s="112">
        <f t="shared" si="4"/>
        <v>-6285414.79189899</v>
      </c>
      <c r="M23" s="112">
        <f t="shared" si="4"/>
        <v>-5554452.034407787</v>
      </c>
      <c r="N23" s="112">
        <f t="shared" si="4"/>
        <v>-4801560.3941918472</v>
      </c>
      <c r="O23" s="112">
        <f t="shared" si="4"/>
        <v>-4026082.0047694291</v>
      </c>
      <c r="P23" s="112">
        <f t="shared" si="4"/>
        <v>-3227339.2636643387</v>
      </c>
      <c r="Q23" s="112">
        <f t="shared" si="4"/>
        <v>-2404634.2403260954</v>
      </c>
      <c r="R23" s="112">
        <f t="shared" si="4"/>
        <v>-1557248.0662877047</v>
      </c>
      <c r="S23" s="112">
        <f t="shared" si="4"/>
        <v>-684440.30702816253</v>
      </c>
      <c r="T23" s="112">
        <f t="shared" si="4"/>
        <v>214551.68500916602</v>
      </c>
      <c r="U23" s="112">
        <f t="shared" si="4"/>
        <v>1140513.4368076148</v>
      </c>
      <c r="V23" s="112">
        <f t="shared" si="4"/>
        <v>2094254.0411600168</v>
      </c>
      <c r="W23" s="112">
        <f t="shared" si="4"/>
        <v>3076606.8636429906</v>
      </c>
      <c r="X23" s="112">
        <f t="shared" si="4"/>
        <v>4088430.2708004536</v>
      </c>
      <c r="Y23" s="112">
        <f t="shared" si="4"/>
        <v>22326547.184813727</v>
      </c>
    </row>
    <row r="24" spans="5:25" ht="5.25" customHeight="1"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</row>
    <row r="25" spans="5:25">
      <c r="E25" s="106" t="s">
        <v>89</v>
      </c>
      <c r="F25" s="102">
        <f>SUM(F22:Y22)</f>
        <v>22326547.184813727</v>
      </c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</row>
    <row r="26" spans="5:25">
      <c r="E26" s="107" t="s">
        <v>135</v>
      </c>
      <c r="F26" s="103">
        <f>-MIN(F23:Y23)</f>
        <v>12563750</v>
      </c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</row>
    <row r="27" spans="5:25">
      <c r="E27" s="107" t="s">
        <v>90</v>
      </c>
      <c r="F27" s="104">
        <f>IRR(F22:Y22)</f>
        <v>8.3218818066391753E-2</v>
      </c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</row>
    <row r="28" spans="5:25">
      <c r="E28" s="108" t="s">
        <v>113</v>
      </c>
      <c r="F28" s="105">
        <f>SUM(F25:F26)/F26</f>
        <v>2.7770607648841885</v>
      </c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</row>
    <row r="29" spans="5:25" ht="5.25" customHeight="1"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</row>
    <row r="30" spans="5:25">
      <c r="E30" s="76" t="s">
        <v>136</v>
      </c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</row>
    <row r="31" spans="5:25">
      <c r="E31" s="76" t="s">
        <v>137</v>
      </c>
      <c r="F31" s="110"/>
      <c r="G31" s="110"/>
      <c r="H31" s="110"/>
      <c r="I31" s="110"/>
      <c r="J31" s="110">
        <f t="shared" ref="J31:Y31" si="5">I38</f>
        <v>5525000</v>
      </c>
      <c r="K31" s="110">
        <f t="shared" si="5"/>
        <v>5525000</v>
      </c>
      <c r="L31" s="110">
        <f t="shared" si="5"/>
        <v>5525000</v>
      </c>
      <c r="M31" s="110">
        <f t="shared" si="5"/>
        <v>5525000</v>
      </c>
      <c r="N31" s="110">
        <f t="shared" si="5"/>
        <v>5525000</v>
      </c>
      <c r="O31" s="110">
        <f t="shared" si="5"/>
        <v>5525000</v>
      </c>
      <c r="P31" s="110">
        <f t="shared" si="5"/>
        <v>5525000</v>
      </c>
      <c r="Q31" s="110">
        <f t="shared" si="5"/>
        <v>5525000</v>
      </c>
      <c r="R31" s="110">
        <f t="shared" si="5"/>
        <v>5525000</v>
      </c>
      <c r="S31" s="110">
        <f t="shared" si="5"/>
        <v>5525000</v>
      </c>
      <c r="T31" s="110">
        <f t="shared" si="5"/>
        <v>5525000</v>
      </c>
      <c r="U31" s="110">
        <f t="shared" si="5"/>
        <v>5525000</v>
      </c>
      <c r="V31" s="110">
        <f t="shared" si="5"/>
        <v>5525000</v>
      </c>
      <c r="W31" s="110">
        <f t="shared" si="5"/>
        <v>5525000</v>
      </c>
      <c r="X31" s="110">
        <f t="shared" si="5"/>
        <v>5525000</v>
      </c>
      <c r="Y31" s="110">
        <f t="shared" si="5"/>
        <v>5525000</v>
      </c>
    </row>
    <row r="32" spans="5:25">
      <c r="E32" s="76" t="s">
        <v>92</v>
      </c>
      <c r="F32" s="110"/>
      <c r="G32" s="110"/>
      <c r="H32" s="110"/>
      <c r="I32" s="110">
        <f>-SUM(F16:I16)*Proforma!C14</f>
        <v>5525000</v>
      </c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</row>
    <row r="33" spans="5:25">
      <c r="E33" s="76" t="s">
        <v>138</v>
      </c>
      <c r="F33" s="110"/>
      <c r="G33" s="110"/>
      <c r="H33" s="110"/>
      <c r="I33" s="110">
        <f>I31*Proforma!$C$15</f>
        <v>0</v>
      </c>
      <c r="J33" s="110">
        <f>J31*Proforma!$C$15</f>
        <v>165750</v>
      </c>
      <c r="K33" s="110">
        <f>K31*Proforma!$C$15</f>
        <v>165750</v>
      </c>
      <c r="L33" s="110">
        <f>L31*Proforma!$C$15</f>
        <v>165750</v>
      </c>
      <c r="M33" s="110">
        <f>M31*Proforma!$C$15</f>
        <v>165750</v>
      </c>
      <c r="N33" s="110">
        <f>N31*Proforma!$C$15</f>
        <v>165750</v>
      </c>
      <c r="O33" s="110">
        <f>O31*Proforma!$C$15</f>
        <v>165750</v>
      </c>
      <c r="P33" s="110">
        <f>P31*Proforma!$C$15</f>
        <v>165750</v>
      </c>
      <c r="Q33" s="110">
        <f>Q31*Proforma!$C$15</f>
        <v>165750</v>
      </c>
      <c r="R33" s="110">
        <f>R31*Proforma!$C$15</f>
        <v>165750</v>
      </c>
      <c r="S33" s="110">
        <f>S31*Proforma!$C$15</f>
        <v>165750</v>
      </c>
      <c r="T33" s="110">
        <f>T31*Proforma!$C$15</f>
        <v>165750</v>
      </c>
      <c r="U33" s="110">
        <f>U31*Proforma!$C$15</f>
        <v>165750</v>
      </c>
      <c r="V33" s="110">
        <f>V31*Proforma!$C$15</f>
        <v>165750</v>
      </c>
      <c r="W33" s="110">
        <f>W31*Proforma!$C$15</f>
        <v>165750</v>
      </c>
      <c r="X33" s="110">
        <f>X31*Proforma!$C$15</f>
        <v>165750</v>
      </c>
      <c r="Y33" s="110">
        <f>Y31*Proforma!$C$15</f>
        <v>165750</v>
      </c>
    </row>
    <row r="34" spans="5:25">
      <c r="E34" s="76" t="s">
        <v>139</v>
      </c>
      <c r="F34" s="110"/>
      <c r="G34" s="110"/>
      <c r="H34" s="110"/>
      <c r="I34" s="110">
        <f t="shared" ref="I34:Y34" si="6">-I33</f>
        <v>0</v>
      </c>
      <c r="J34" s="110">
        <f t="shared" si="6"/>
        <v>-165750</v>
      </c>
      <c r="K34" s="110">
        <f t="shared" si="6"/>
        <v>-165750</v>
      </c>
      <c r="L34" s="110">
        <f t="shared" si="6"/>
        <v>-165750</v>
      </c>
      <c r="M34" s="110">
        <f t="shared" si="6"/>
        <v>-165750</v>
      </c>
      <c r="N34" s="110">
        <f t="shared" si="6"/>
        <v>-165750</v>
      </c>
      <c r="O34" s="110">
        <f t="shared" si="6"/>
        <v>-165750</v>
      </c>
      <c r="P34" s="110">
        <f t="shared" si="6"/>
        <v>-165750</v>
      </c>
      <c r="Q34" s="110">
        <f t="shared" si="6"/>
        <v>-165750</v>
      </c>
      <c r="R34" s="110">
        <f t="shared" si="6"/>
        <v>-165750</v>
      </c>
      <c r="S34" s="110">
        <f t="shared" si="6"/>
        <v>-165750</v>
      </c>
      <c r="T34" s="110">
        <f t="shared" si="6"/>
        <v>-165750</v>
      </c>
      <c r="U34" s="110">
        <f t="shared" si="6"/>
        <v>-165750</v>
      </c>
      <c r="V34" s="110">
        <f t="shared" si="6"/>
        <v>-165750</v>
      </c>
      <c r="W34" s="110">
        <f t="shared" si="6"/>
        <v>-165750</v>
      </c>
      <c r="X34" s="110">
        <f t="shared" si="6"/>
        <v>-165750</v>
      </c>
      <c r="Y34" s="110">
        <f t="shared" si="6"/>
        <v>-165750</v>
      </c>
    </row>
    <row r="35" spans="5:25">
      <c r="E35" s="76" t="s">
        <v>141</v>
      </c>
      <c r="F35" s="110"/>
      <c r="G35" s="110"/>
      <c r="H35" s="110"/>
      <c r="I35" s="110">
        <f>I32*Proforma!C16</f>
        <v>82875</v>
      </c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</row>
    <row r="36" spans="5:25">
      <c r="E36" s="76" t="s">
        <v>142</v>
      </c>
      <c r="F36" s="110"/>
      <c r="G36" s="110"/>
      <c r="H36" s="110"/>
      <c r="I36" s="110">
        <f>-I35</f>
        <v>-82875</v>
      </c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</row>
    <row r="37" spans="5:25">
      <c r="E37" s="76" t="s">
        <v>110</v>
      </c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>
        <f>-I32</f>
        <v>-5525000</v>
      </c>
    </row>
    <row r="38" spans="5:25">
      <c r="E38" s="76" t="s">
        <v>140</v>
      </c>
      <c r="F38" s="110"/>
      <c r="G38" s="110"/>
      <c r="H38" s="110"/>
      <c r="I38" s="110">
        <f t="shared" ref="I38:Y38" si="7">SUM(I31:I37)</f>
        <v>5525000</v>
      </c>
      <c r="J38" s="110">
        <f t="shared" si="7"/>
        <v>5525000</v>
      </c>
      <c r="K38" s="110">
        <f t="shared" si="7"/>
        <v>5525000</v>
      </c>
      <c r="L38" s="110">
        <f t="shared" si="7"/>
        <v>5525000</v>
      </c>
      <c r="M38" s="110">
        <f t="shared" si="7"/>
        <v>5525000</v>
      </c>
      <c r="N38" s="110">
        <f t="shared" si="7"/>
        <v>5525000</v>
      </c>
      <c r="O38" s="110">
        <f t="shared" si="7"/>
        <v>5525000</v>
      </c>
      <c r="P38" s="110">
        <f t="shared" si="7"/>
        <v>5525000</v>
      </c>
      <c r="Q38" s="110">
        <f t="shared" si="7"/>
        <v>5525000</v>
      </c>
      <c r="R38" s="110">
        <f t="shared" si="7"/>
        <v>5525000</v>
      </c>
      <c r="S38" s="110">
        <f t="shared" si="7"/>
        <v>5525000</v>
      </c>
      <c r="T38" s="110">
        <f t="shared" si="7"/>
        <v>5525000</v>
      </c>
      <c r="U38" s="110">
        <f t="shared" si="7"/>
        <v>5525000</v>
      </c>
      <c r="V38" s="110">
        <f t="shared" si="7"/>
        <v>5525000</v>
      </c>
      <c r="W38" s="110">
        <f t="shared" si="7"/>
        <v>5525000</v>
      </c>
      <c r="X38" s="110">
        <f t="shared" si="7"/>
        <v>5525000</v>
      </c>
      <c r="Y38" s="110">
        <f t="shared" si="7"/>
        <v>0</v>
      </c>
    </row>
    <row r="39" spans="5:25" ht="5.25" customHeight="1">
      <c r="E39" s="65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</row>
    <row r="40" spans="5:25">
      <c r="E40" s="76" t="s">
        <v>112</v>
      </c>
      <c r="F40" s="111">
        <f t="shared" ref="F40:Y40" si="8">SUM(F22,F34,F36,F32,F37)</f>
        <v>-12563750</v>
      </c>
      <c r="G40" s="111">
        <f t="shared" si="8"/>
        <v>0</v>
      </c>
      <c r="H40" s="111">
        <f t="shared" si="8"/>
        <v>0</v>
      </c>
      <c r="I40" s="111">
        <f t="shared" si="8"/>
        <v>9784610.679693494</v>
      </c>
      <c r="J40" s="111">
        <f t="shared" si="8"/>
        <v>435511.75965412543</v>
      </c>
      <c r="K40" s="111">
        <f t="shared" si="8"/>
        <v>483179.93902368133</v>
      </c>
      <c r="L40" s="111">
        <f t="shared" si="8"/>
        <v>519907.82972970861</v>
      </c>
      <c r="M40" s="111">
        <f t="shared" si="8"/>
        <v>565212.75749120349</v>
      </c>
      <c r="N40" s="111">
        <f t="shared" si="8"/>
        <v>587141.64021593973</v>
      </c>
      <c r="O40" s="111">
        <f t="shared" si="8"/>
        <v>609728.38942241797</v>
      </c>
      <c r="P40" s="111">
        <f t="shared" si="8"/>
        <v>632992.74110509059</v>
      </c>
      <c r="Q40" s="111">
        <f t="shared" si="8"/>
        <v>656955.02333824313</v>
      </c>
      <c r="R40" s="111">
        <f t="shared" si="8"/>
        <v>681636.17403839051</v>
      </c>
      <c r="S40" s="111">
        <f t="shared" si="8"/>
        <v>707057.75925954222</v>
      </c>
      <c r="T40" s="111">
        <f t="shared" si="8"/>
        <v>733241.99203732854</v>
      </c>
      <c r="U40" s="111">
        <f t="shared" si="8"/>
        <v>760211.75179844862</v>
      </c>
      <c r="V40" s="111">
        <f t="shared" si="8"/>
        <v>787990.60435240204</v>
      </c>
      <c r="W40" s="111">
        <f t="shared" si="8"/>
        <v>816602.82248297404</v>
      </c>
      <c r="X40" s="111">
        <f t="shared" si="8"/>
        <v>846073.40715746302</v>
      </c>
      <c r="Y40" s="111">
        <f t="shared" si="8"/>
        <v>12547366.914013274</v>
      </c>
    </row>
    <row r="41" spans="5:25">
      <c r="E41" s="76" t="s">
        <v>93</v>
      </c>
      <c r="F41" s="112">
        <f>F40</f>
        <v>-12563750</v>
      </c>
      <c r="G41" s="112">
        <f t="shared" ref="G41:Y41" si="9">G40+F41</f>
        <v>-12563750</v>
      </c>
      <c r="H41" s="112">
        <f t="shared" si="9"/>
        <v>-12563750</v>
      </c>
      <c r="I41" s="112">
        <f t="shared" si="9"/>
        <v>-2779139.320306506</v>
      </c>
      <c r="J41" s="112">
        <f t="shared" si="9"/>
        <v>-2343627.5606523808</v>
      </c>
      <c r="K41" s="112">
        <f t="shared" si="9"/>
        <v>-1860447.6216286994</v>
      </c>
      <c r="L41" s="112">
        <f t="shared" si="9"/>
        <v>-1340539.7918989907</v>
      </c>
      <c r="M41" s="112">
        <f t="shared" si="9"/>
        <v>-775327.03440778726</v>
      </c>
      <c r="N41" s="112">
        <f t="shared" si="9"/>
        <v>-188185.39419184753</v>
      </c>
      <c r="O41" s="112">
        <f t="shared" si="9"/>
        <v>421542.99523057044</v>
      </c>
      <c r="P41" s="112">
        <f t="shared" si="9"/>
        <v>1054535.736335661</v>
      </c>
      <c r="Q41" s="112">
        <f t="shared" si="9"/>
        <v>1711490.7596739042</v>
      </c>
      <c r="R41" s="112">
        <f t="shared" si="9"/>
        <v>2393126.9337122948</v>
      </c>
      <c r="S41" s="112">
        <f t="shared" si="9"/>
        <v>3100184.6929718368</v>
      </c>
      <c r="T41" s="112">
        <f t="shared" si="9"/>
        <v>3833426.6850091652</v>
      </c>
      <c r="U41" s="112">
        <f t="shared" si="9"/>
        <v>4593638.4368076138</v>
      </c>
      <c r="V41" s="112">
        <f t="shared" si="9"/>
        <v>5381629.0411600154</v>
      </c>
      <c r="W41" s="112">
        <f t="shared" si="9"/>
        <v>6198231.8636429897</v>
      </c>
      <c r="X41" s="112">
        <f t="shared" si="9"/>
        <v>7044305.2708004527</v>
      </c>
      <c r="Y41" s="112">
        <f t="shared" si="9"/>
        <v>19591672.184813727</v>
      </c>
    </row>
    <row r="42" spans="5:25" ht="5.25" customHeight="1">
      <c r="E42" s="65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</row>
    <row r="43" spans="5:25">
      <c r="E43" s="106" t="s">
        <v>89</v>
      </c>
      <c r="F43" s="102">
        <f>SUM(F40:Y40)</f>
        <v>19591672.184813727</v>
      </c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</row>
    <row r="44" spans="5:25">
      <c r="E44" s="107" t="s">
        <v>135</v>
      </c>
      <c r="F44" s="103">
        <f>-MIN(F41:Y41)</f>
        <v>12563750</v>
      </c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</row>
    <row r="45" spans="5:25">
      <c r="E45" s="107" t="s">
        <v>90</v>
      </c>
      <c r="F45" s="104">
        <f>IRR(F40:Y40)</f>
        <v>0.10362616713056094</v>
      </c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</row>
    <row r="46" spans="5:25">
      <c r="E46" s="108" t="s">
        <v>113</v>
      </c>
      <c r="F46" s="105">
        <f>SUM(F43:F44)/F44</f>
        <v>2.5593809320317362</v>
      </c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D533A-EF7C-41FE-9076-B6AAC5A82308}">
  <sheetPr>
    <tabColor theme="4" tint="0.39997558519241921"/>
  </sheetPr>
  <dimension ref="B1:I22"/>
  <sheetViews>
    <sheetView topLeftCell="A4" zoomScale="160" zoomScaleNormal="160" workbookViewId="0">
      <selection activeCell="D25" sqref="D25"/>
    </sheetView>
  </sheetViews>
  <sheetFormatPr baseColWidth="10" defaultColWidth="8.83203125" defaultRowHeight="15"/>
  <cols>
    <col min="1" max="1" width="3.5" customWidth="1"/>
    <col min="2" max="2" width="10.83203125" customWidth="1"/>
    <col min="4" max="4" width="0" hidden="1" customWidth="1"/>
  </cols>
  <sheetData>
    <row r="1" spans="2:9" hidden="1"/>
    <row r="2" spans="2:9" hidden="1">
      <c r="B2" s="116" t="s">
        <v>71</v>
      </c>
      <c r="C2" s="117"/>
      <c r="D2" s="118">
        <v>0</v>
      </c>
    </row>
    <row r="3" spans="2:9" hidden="1">
      <c r="B3" s="119" t="s">
        <v>114</v>
      </c>
      <c r="C3" s="120"/>
      <c r="D3" s="121">
        <v>0</v>
      </c>
    </row>
    <row r="5" spans="2:9">
      <c r="B5" s="92" t="s">
        <v>148</v>
      </c>
      <c r="C5" s="91"/>
      <c r="D5" s="87"/>
      <c r="E5" s="123" t="s">
        <v>116</v>
      </c>
      <c r="F5" s="123"/>
      <c r="G5" s="123"/>
      <c r="H5" s="123"/>
      <c r="I5" s="123"/>
    </row>
    <row r="6" spans="2:9">
      <c r="B6" s="87"/>
      <c r="C6" s="87"/>
      <c r="D6" s="86"/>
      <c r="E6" s="86">
        <f>'P&amp;L'!$N$4*(1+E7)</f>
        <v>394.86594095647348</v>
      </c>
      <c r="F6" s="86">
        <f>'P&amp;L'!$N$4*(1+F7)</f>
        <v>416.80293767627757</v>
      </c>
      <c r="G6" s="86">
        <f>'P&amp;L'!$N$4*(1+G7)</f>
        <v>438.73993439608165</v>
      </c>
      <c r="H6" s="86">
        <f>'P&amp;L'!$N$4*(1+H7)</f>
        <v>460.67693111588574</v>
      </c>
      <c r="I6" s="86">
        <f>'P&amp;L'!$N$4*(1+I7)</f>
        <v>482.61392783568988</v>
      </c>
    </row>
    <row r="7" spans="2:9" hidden="1">
      <c r="B7" s="87"/>
      <c r="C7" s="87"/>
      <c r="D7" s="90">
        <f>Proforma!F45</f>
        <v>0.10362616713056094</v>
      </c>
      <c r="E7" s="88">
        <v>-0.1</v>
      </c>
      <c r="F7" s="88">
        <f>E7+5%</f>
        <v>-0.05</v>
      </c>
      <c r="G7" s="88">
        <f>F7+5%</f>
        <v>0</v>
      </c>
      <c r="H7" s="88">
        <f>G7+5%</f>
        <v>0.05</v>
      </c>
      <c r="I7" s="88">
        <f>H7+5%</f>
        <v>0.1</v>
      </c>
    </row>
    <row r="8" spans="2:9">
      <c r="B8" s="122" t="s">
        <v>115</v>
      </c>
      <c r="C8" s="88">
        <f>'P&amp;L'!$R$5+D8</f>
        <v>0.88595270226280276</v>
      </c>
      <c r="D8" s="87">
        <v>0.05</v>
      </c>
      <c r="E8" s="70">
        <f t="dataTable" ref="E8:I12" dt2D="1" dtr="1" r1="D2" r2="D3"/>
        <v>9.3044820073080015E-2</v>
      </c>
      <c r="F8" s="70">
        <v>0.10509024902322528</v>
      </c>
      <c r="G8" s="70">
        <v>0.11575547676112263</v>
      </c>
      <c r="H8" s="70">
        <v>0.12538474877135797</v>
      </c>
      <c r="I8" s="70">
        <v>0.13420501851552236</v>
      </c>
    </row>
    <row r="9" spans="2:9" ht="16" thickBot="1">
      <c r="B9" s="122"/>
      <c r="C9" s="88">
        <f>'P&amp;L'!$R$5+D9</f>
        <v>0.86095270226280274</v>
      </c>
      <c r="D9" s="87">
        <f>D8-2.5%</f>
        <v>2.5000000000000001E-2</v>
      </c>
      <c r="E9" s="70">
        <v>8.6231504640052581E-2</v>
      </c>
      <c r="F9" s="70">
        <v>9.8832684759643907E-2</v>
      </c>
      <c r="G9" s="70">
        <v>0.10988229853462106</v>
      </c>
      <c r="H9" s="70">
        <v>0.11978884321768946</v>
      </c>
      <c r="I9" s="70">
        <v>0.12881488555935028</v>
      </c>
    </row>
    <row r="10" spans="2:9" ht="16" thickBot="1">
      <c r="B10" s="122"/>
      <c r="C10" s="88">
        <f>'P&amp;L'!$R$5+D10</f>
        <v>0.83595270226280272</v>
      </c>
      <c r="D10" s="87">
        <f>D9-2.5%</f>
        <v>0</v>
      </c>
      <c r="E10" s="70">
        <v>7.8814643400366258E-2</v>
      </c>
      <c r="F10" s="70">
        <v>9.2107466012410599E-2</v>
      </c>
      <c r="G10" s="89">
        <v>0.10362616713056094</v>
      </c>
      <c r="H10" s="70">
        <v>0.11386708371490251</v>
      </c>
      <c r="I10" s="70">
        <v>0.12313962147547231</v>
      </c>
    </row>
    <row r="11" spans="2:9">
      <c r="B11" s="122"/>
      <c r="C11" s="88">
        <f>'P&amp;L'!$R$5+D11</f>
        <v>0.81095270226280269</v>
      </c>
      <c r="D11" s="87">
        <f>D10-2.5%</f>
        <v>-2.5000000000000001E-2</v>
      </c>
      <c r="E11" s="70">
        <v>7.0642776744175073E-2</v>
      </c>
      <c r="F11" s="70">
        <v>8.4815807243163954E-2</v>
      </c>
      <c r="G11" s="70">
        <v>9.6916274227537347E-2</v>
      </c>
      <c r="H11" s="70">
        <v>0.10756533354735676</v>
      </c>
      <c r="I11" s="70">
        <v>0.11713586404010234</v>
      </c>
    </row>
    <row r="12" spans="2:9">
      <c r="B12" s="122"/>
      <c r="C12" s="88">
        <f>'P&amp;L'!$R$5+D12</f>
        <v>0.78595270226280267</v>
      </c>
      <c r="D12" s="87">
        <f>D11-2.5%</f>
        <v>-0.05</v>
      </c>
      <c r="E12" s="70">
        <v>6.1495888943461807E-2</v>
      </c>
      <c r="F12" s="70">
        <v>7.6822244309700638E-2</v>
      </c>
      <c r="G12" s="70">
        <v>8.9659171716773844E-2</v>
      </c>
      <c r="H12" s="70">
        <v>0.10081407526931319</v>
      </c>
      <c r="I12" s="70">
        <v>0.11074906285043529</v>
      </c>
    </row>
    <row r="13" spans="2:9">
      <c r="B13" s="65"/>
      <c r="C13" s="67"/>
      <c r="D13" s="69"/>
      <c r="E13" s="66"/>
      <c r="F13" s="69"/>
      <c r="G13" s="65"/>
      <c r="H13" s="69"/>
      <c r="I13" s="65"/>
    </row>
    <row r="14" spans="2:9">
      <c r="B14" s="91" t="s">
        <v>149</v>
      </c>
      <c r="C14" s="91"/>
      <c r="D14" s="87"/>
      <c r="E14" s="123" t="s">
        <v>116</v>
      </c>
      <c r="F14" s="123"/>
      <c r="G14" s="123"/>
      <c r="H14" s="123"/>
      <c r="I14" s="123"/>
    </row>
    <row r="15" spans="2:9">
      <c r="B15" s="87"/>
      <c r="C15" s="87"/>
      <c r="D15" s="86"/>
      <c r="E15" s="86">
        <f>'P&amp;L'!$N$4*(1+E16)</f>
        <v>394.86594095647348</v>
      </c>
      <c r="F15" s="86">
        <f>'P&amp;L'!$N$4*(1+F16)</f>
        <v>416.80293767627757</v>
      </c>
      <c r="G15" s="86">
        <f>'P&amp;L'!$N$4*(1+G16)</f>
        <v>438.73993439608165</v>
      </c>
      <c r="H15" s="86">
        <f>'P&amp;L'!$N$4*(1+H16)</f>
        <v>460.67693111588574</v>
      </c>
      <c r="I15" s="86">
        <f>'P&amp;L'!$N$4*(1+I16)</f>
        <v>482.61392783568988</v>
      </c>
    </row>
    <row r="16" spans="2:9" hidden="1">
      <c r="B16" s="87"/>
      <c r="C16" s="87"/>
      <c r="D16" s="90">
        <f>Proforma!F46</f>
        <v>2.5593809320317362</v>
      </c>
      <c r="E16" s="88">
        <v>-0.1</v>
      </c>
      <c r="F16" s="88">
        <f>E16+5%</f>
        <v>-0.05</v>
      </c>
      <c r="G16" s="88">
        <f>F16+5%</f>
        <v>0</v>
      </c>
      <c r="H16" s="88">
        <f>G16+5%</f>
        <v>0.05</v>
      </c>
      <c r="I16" s="88">
        <f>H16+5%</f>
        <v>0.1</v>
      </c>
    </row>
    <row r="17" spans="2:9">
      <c r="B17" s="122" t="s">
        <v>115</v>
      </c>
      <c r="C17" s="88">
        <f>'P&amp;L'!$R$5+D17</f>
        <v>0.88595270226280276</v>
      </c>
      <c r="D17" s="87">
        <v>0.05</v>
      </c>
      <c r="E17" s="93">
        <f t="dataTable" ref="E17:I21" dt2D="1" dtr="1" r1="D2" r2="D3" ca="1"/>
        <v>2.2869924228395266</v>
      </c>
      <c r="F17" s="93">
        <v>2.5996257252744099</v>
      </c>
      <c r="G17" s="93">
        <v>2.9122590277092928</v>
      </c>
      <c r="H17" s="93">
        <v>3.2248923301441788</v>
      </c>
      <c r="I17" s="93">
        <v>3.5375256325790616</v>
      </c>
    </row>
    <row r="18" spans="2:9" ht="16" thickBot="1">
      <c r="B18" s="122"/>
      <c r="C18" s="88">
        <f>'P&amp;L'!$R$5+D18</f>
        <v>0.86095270226280274</v>
      </c>
      <c r="D18" s="87">
        <f>D17-2.5%</f>
        <v>2.5000000000000001E-2</v>
      </c>
      <c r="E18" s="93">
        <v>2.1281972797846258</v>
      </c>
      <c r="F18" s="93">
        <v>2.4320086298275689</v>
      </c>
      <c r="G18" s="93">
        <v>2.7358199798705152</v>
      </c>
      <c r="H18" s="93">
        <v>3.0396313299134587</v>
      </c>
      <c r="I18" s="93">
        <v>3.3434426799564063</v>
      </c>
    </row>
    <row r="19" spans="2:9" ht="16" thickBot="1">
      <c r="B19" s="122"/>
      <c r="C19" s="88">
        <f>'P&amp;L'!$R$5+D19</f>
        <v>0.83595270226280272</v>
      </c>
      <c r="D19" s="87">
        <f>D18-2.5%</f>
        <v>0</v>
      </c>
      <c r="E19" s="93">
        <v>1.9694021367297256</v>
      </c>
      <c r="F19" s="93">
        <v>2.264391534380731</v>
      </c>
      <c r="G19" s="94">
        <v>2.5593809320317362</v>
      </c>
      <c r="H19" s="93">
        <v>2.8543703296827436</v>
      </c>
      <c r="I19" s="93">
        <v>3.1493597273337497</v>
      </c>
    </row>
    <row r="20" spans="2:9">
      <c r="B20" s="122"/>
      <c r="C20" s="88">
        <f>'P&amp;L'!$R$5+D20</f>
        <v>0.81095270226280269</v>
      </c>
      <c r="D20" s="87">
        <f>D19-2.5%</f>
        <v>-2.5000000000000001E-2</v>
      </c>
      <c r="E20" s="93">
        <v>1.8106069936748239</v>
      </c>
      <c r="F20" s="93">
        <v>2.0967744389338896</v>
      </c>
      <c r="G20" s="93">
        <v>2.3829418841929586</v>
      </c>
      <c r="H20" s="93">
        <v>2.6691093294520254</v>
      </c>
      <c r="I20" s="93">
        <v>2.9552767747110922</v>
      </c>
    </row>
    <row r="21" spans="2:9">
      <c r="B21" s="122"/>
      <c r="C21" s="88">
        <f>'P&amp;L'!$R$5+D21</f>
        <v>0.78595270226280267</v>
      </c>
      <c r="D21" s="87">
        <f>D20-2.5%</f>
        <v>-0.05</v>
      </c>
      <c r="E21" s="93">
        <v>1.6518118506199233</v>
      </c>
      <c r="F21" s="93">
        <v>1.9291573434870506</v>
      </c>
      <c r="G21" s="93">
        <v>2.2065028363541783</v>
      </c>
      <c r="H21" s="93">
        <v>2.4838483292213072</v>
      </c>
      <c r="I21" s="93">
        <v>2.761193822088436</v>
      </c>
    </row>
    <row r="22" spans="2:9">
      <c r="B22" s="69"/>
      <c r="C22" s="67"/>
      <c r="D22" s="69"/>
      <c r="E22" s="66"/>
      <c r="F22" s="69"/>
      <c r="G22" s="65"/>
      <c r="H22" s="69"/>
      <c r="I22" s="65"/>
    </row>
  </sheetData>
  <mergeCells count="4">
    <mergeCell ref="B8:B12"/>
    <mergeCell ref="E5:I5"/>
    <mergeCell ref="E14:I14"/>
    <mergeCell ref="B17:B21"/>
  </mergeCells>
  <conditionalFormatting sqref="E8:I9 E11:I12 E10:F10 H10:I1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I18 E20:I21 E19:F19 H19:I1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C20A-CBBC-4EFD-A803-F5BFA847857B}">
  <sheetPr>
    <pageSetUpPr fitToPage="1"/>
  </sheetPr>
  <dimension ref="B1:AA95"/>
  <sheetViews>
    <sheetView topLeftCell="C48" zoomScale="70" zoomScaleNormal="70" workbookViewId="0">
      <selection activeCell="H55" sqref="H55"/>
    </sheetView>
  </sheetViews>
  <sheetFormatPr baseColWidth="10" defaultColWidth="11.5" defaultRowHeight="15"/>
  <cols>
    <col min="1" max="1" width="4.6640625" customWidth="1"/>
    <col min="2" max="2" width="14" hidden="1" customWidth="1"/>
    <col min="3" max="3" width="32.1640625" customWidth="1"/>
    <col min="4" max="4" width="14.83203125" hidden="1" customWidth="1"/>
    <col min="5" max="5" width="6" hidden="1" customWidth="1"/>
    <col min="6" max="6" width="14.83203125" hidden="1" customWidth="1"/>
    <col min="7" max="7" width="8.1640625" hidden="1" customWidth="1"/>
    <col min="8" max="8" width="14.83203125" hidden="1" customWidth="1"/>
    <col min="9" max="9" width="5.5" hidden="1" customWidth="1"/>
    <col min="10" max="10" width="14.83203125" hidden="1" customWidth="1"/>
    <col min="11" max="11" width="5.5" hidden="1" customWidth="1"/>
    <col min="12" max="12" width="14.83203125" customWidth="1"/>
    <col min="13" max="13" width="5.5" bestFit="1" customWidth="1"/>
    <col min="14" max="14" width="14.83203125" customWidth="1"/>
    <col min="15" max="15" width="5.5" bestFit="1" customWidth="1"/>
    <col min="16" max="16" width="14.83203125" customWidth="1"/>
    <col min="17" max="17" width="5.5" bestFit="1" customWidth="1"/>
    <col min="18" max="18" width="14.5" bestFit="1" customWidth="1"/>
    <col min="19" max="19" width="5.5" bestFit="1" customWidth="1"/>
    <col min="20" max="20" width="14.5" bestFit="1" customWidth="1"/>
    <col min="21" max="21" width="5.1640625" bestFit="1" customWidth="1"/>
    <col min="22" max="22" width="14.5" bestFit="1" customWidth="1"/>
    <col min="23" max="23" width="5.1640625" bestFit="1" customWidth="1"/>
    <col min="24" max="24" width="14.5" bestFit="1" customWidth="1"/>
    <col min="25" max="25" width="5.1640625" bestFit="1" customWidth="1"/>
    <col min="26" max="26" width="14.5" bestFit="1" customWidth="1"/>
    <col min="27" max="27" width="5.1640625" bestFit="1" customWidth="1"/>
  </cols>
  <sheetData>
    <row r="1" spans="3:27" ht="16" thickBot="1">
      <c r="D1" t="s">
        <v>72</v>
      </c>
      <c r="H1" s="36" t="s">
        <v>58</v>
      </c>
      <c r="J1" s="36" t="s">
        <v>95</v>
      </c>
    </row>
    <row r="2" spans="3:27" s="40" customFormat="1" ht="28">
      <c r="C2" s="124" t="s">
        <v>59</v>
      </c>
      <c r="D2" s="37" t="s">
        <v>60</v>
      </c>
      <c r="E2" s="38"/>
      <c r="F2" s="37" t="s">
        <v>61</v>
      </c>
      <c r="G2" s="39"/>
      <c r="H2" s="37" t="s">
        <v>62</v>
      </c>
      <c r="I2" s="38"/>
      <c r="J2" s="37" t="s">
        <v>46</v>
      </c>
      <c r="K2" s="38"/>
      <c r="L2" s="37" t="s">
        <v>63</v>
      </c>
      <c r="M2" s="38"/>
      <c r="N2" s="37" t="s">
        <v>64</v>
      </c>
      <c r="O2" s="38"/>
      <c r="P2" s="37" t="s">
        <v>65</v>
      </c>
      <c r="Q2" s="38"/>
      <c r="R2" s="37" t="s">
        <v>66</v>
      </c>
      <c r="S2" s="38"/>
      <c r="T2" s="37" t="s">
        <v>67</v>
      </c>
      <c r="U2" s="38"/>
      <c r="V2" s="37" t="s">
        <v>68</v>
      </c>
      <c r="W2" s="38"/>
      <c r="X2" s="37" t="s">
        <v>69</v>
      </c>
      <c r="Y2" s="38"/>
      <c r="Z2" s="37" t="s">
        <v>70</v>
      </c>
      <c r="AA2" s="38"/>
    </row>
    <row r="3" spans="3:27" ht="16" thickBot="1">
      <c r="C3" s="125"/>
      <c r="D3" s="41"/>
      <c r="E3" s="42"/>
      <c r="F3" s="41"/>
      <c r="G3" s="43"/>
      <c r="H3" s="41"/>
      <c r="I3" s="42" t="s">
        <v>47</v>
      </c>
      <c r="J3" s="41"/>
      <c r="K3" s="42" t="s">
        <v>47</v>
      </c>
      <c r="L3" s="41"/>
      <c r="M3" s="42" t="s">
        <v>47</v>
      </c>
      <c r="N3" s="41"/>
      <c r="O3" s="42" t="s">
        <v>47</v>
      </c>
      <c r="P3" s="41"/>
      <c r="Q3" s="42" t="s">
        <v>47</v>
      </c>
      <c r="R3" s="41"/>
      <c r="S3" s="42" t="s">
        <v>47</v>
      </c>
      <c r="T3" s="41"/>
      <c r="U3" s="42" t="s">
        <v>47</v>
      </c>
      <c r="V3" s="41"/>
      <c r="W3" s="42" t="s">
        <v>47</v>
      </c>
      <c r="X3" s="41"/>
      <c r="Y3" s="42" t="s">
        <v>47</v>
      </c>
      <c r="Z3" s="41"/>
      <c r="AA3" s="42" t="s">
        <v>47</v>
      </c>
    </row>
    <row r="4" spans="3:27">
      <c r="C4" s="44" t="s">
        <v>1</v>
      </c>
      <c r="D4" s="6">
        <v>0.63899868247694336</v>
      </c>
      <c r="E4" s="7"/>
      <c r="F4" s="6">
        <v>0.75667298088513868</v>
      </c>
      <c r="G4" s="45"/>
      <c r="H4" s="6">
        <v>1</v>
      </c>
      <c r="I4" s="7"/>
      <c r="J4" s="6">
        <f>+[1]SM2025!Q12</f>
        <v>0.7386934673366834</v>
      </c>
      <c r="K4" s="7"/>
      <c r="L4" s="6">
        <f>+'[1]SM2026.'!Q12</f>
        <v>0.78781262405716557</v>
      </c>
      <c r="M4" s="7"/>
      <c r="N4" s="6">
        <f>N9/N8</f>
        <v>0.80356887653830888</v>
      </c>
      <c r="O4" s="7"/>
      <c r="P4" s="6">
        <f>P9/P8</f>
        <v>0.82767594283445811</v>
      </c>
      <c r="Q4" s="7"/>
      <c r="R4" s="6">
        <f>R9/R8</f>
        <v>0.83595270226280272</v>
      </c>
      <c r="S4" s="7"/>
      <c r="T4" s="6">
        <f>T9/T8</f>
        <v>0.83595270226280272</v>
      </c>
      <c r="U4" s="7"/>
      <c r="V4" s="6">
        <f>V9/V8</f>
        <v>0.83595270226280272</v>
      </c>
      <c r="W4" s="7"/>
      <c r="X4" s="6">
        <f>X9/X8</f>
        <v>0.83595270226280272</v>
      </c>
      <c r="Y4" s="7"/>
      <c r="Z4" s="6">
        <f>Z9/Z8</f>
        <v>0.83595270226280272</v>
      </c>
      <c r="AA4" s="7"/>
    </row>
    <row r="5" spans="3:27">
      <c r="C5" s="44" t="s">
        <v>2</v>
      </c>
      <c r="D5" s="8">
        <v>166.68676804123712</v>
      </c>
      <c r="E5" s="7"/>
      <c r="F5" s="8">
        <v>183.24418980427853</v>
      </c>
      <c r="G5" s="45"/>
      <c r="H5" s="8">
        <v>545</v>
      </c>
      <c r="I5" s="7"/>
      <c r="J5" s="8">
        <f>+[1]SM2025!Q13</f>
        <v>237.92271730914584</v>
      </c>
      <c r="K5" s="7"/>
      <c r="L5" s="33">
        <f>+'[1]SM2026.'!Q13</f>
        <v>360.61224489795916</v>
      </c>
      <c r="M5" s="7"/>
      <c r="N5" s="33">
        <f>+L5*1.04</f>
        <v>375.03673469387752</v>
      </c>
      <c r="O5" s="7"/>
      <c r="P5" s="33">
        <f>+N5*1.04</f>
        <v>390.03820408163261</v>
      </c>
      <c r="Q5" s="7"/>
      <c r="R5" s="33">
        <f>+P5*1.04</f>
        <v>405.63973224489791</v>
      </c>
      <c r="S5" s="7"/>
      <c r="T5" s="33">
        <f>+R5*1.04</f>
        <v>421.86532153469386</v>
      </c>
      <c r="U5" s="7"/>
      <c r="V5" s="33">
        <f>+T5*1.04</f>
        <v>438.73993439608165</v>
      </c>
      <c r="W5" s="7"/>
      <c r="X5" s="33">
        <f>+V5*1.03</f>
        <v>451.90213242796409</v>
      </c>
      <c r="Y5" s="7"/>
      <c r="Z5" s="33">
        <f>+X5*1.04</f>
        <v>469.97821772508269</v>
      </c>
      <c r="AA5" s="7"/>
    </row>
    <row r="6" spans="3:27">
      <c r="C6" s="44" t="s">
        <v>3</v>
      </c>
      <c r="D6" s="8">
        <v>106.51262516469039</v>
      </c>
      <c r="E6" s="7"/>
      <c r="F6" s="8">
        <v>138.65592732908559</v>
      </c>
      <c r="G6" s="45"/>
      <c r="H6" s="8">
        <v>545</v>
      </c>
      <c r="I6" s="7"/>
      <c r="J6" s="8">
        <f>+[1]SM2025!Q14</f>
        <v>175.75195700725848</v>
      </c>
      <c r="K6" s="7"/>
      <c r="L6" s="8">
        <f>+'[1]SM2026.'!Q14</f>
        <v>284.09487892020644</v>
      </c>
      <c r="M6" s="7"/>
      <c r="N6" s="8">
        <f>N5*N4</f>
        <v>301.36784755855496</v>
      </c>
      <c r="O6" s="7"/>
      <c r="P6" s="8">
        <f>P5*P4</f>
        <v>322.82523830472405</v>
      </c>
      <c r="Q6" s="7"/>
      <c r="R6" s="8">
        <f>R5*R4</f>
        <v>339.09563031528216</v>
      </c>
      <c r="S6" s="7"/>
      <c r="T6" s="8">
        <f>T5*T4</f>
        <v>352.6594555278935</v>
      </c>
      <c r="U6" s="7"/>
      <c r="V6" s="8">
        <f>V5*V4</f>
        <v>366.76583374900923</v>
      </c>
      <c r="W6" s="7"/>
      <c r="X6" s="8">
        <f>X5*X4</f>
        <v>377.76880876147953</v>
      </c>
      <c r="Y6" s="7"/>
      <c r="Z6" s="8">
        <f>Z5*Z4</f>
        <v>392.8795611119387</v>
      </c>
      <c r="AA6" s="7"/>
    </row>
    <row r="7" spans="3:27">
      <c r="C7" s="44" t="s">
        <v>4</v>
      </c>
      <c r="D7" s="8">
        <v>162.55187911725957</v>
      </c>
      <c r="E7" s="7"/>
      <c r="F7" s="8">
        <v>223.38322886171861</v>
      </c>
      <c r="G7" s="45"/>
      <c r="H7" s="8">
        <v>717.41379310344826</v>
      </c>
      <c r="I7" s="7"/>
      <c r="J7" s="8">
        <f>+[1]SM2025!Q15</f>
        <v>289.83396984924622</v>
      </c>
      <c r="K7" s="7"/>
      <c r="L7" s="8">
        <f>+'[1]SM2026.'!Q15</f>
        <v>431.45724493846768</v>
      </c>
      <c r="M7" s="7"/>
      <c r="N7" s="8">
        <f>N14/N8</f>
        <v>457.24095911075813</v>
      </c>
      <c r="O7" s="7"/>
      <c r="P7" s="8">
        <f>P14/P8</f>
        <v>486.35782520428751</v>
      </c>
      <c r="Q7" s="7"/>
      <c r="R7" s="8">
        <f>R14/R8</f>
        <v>509.24995635974426</v>
      </c>
      <c r="S7" s="7"/>
      <c r="T7" s="8">
        <f>T14/T8</f>
        <v>529.70441206649616</v>
      </c>
      <c r="U7" s="7"/>
      <c r="V7" s="8">
        <f>V14/V8</f>
        <v>550.98126887413616</v>
      </c>
      <c r="W7" s="7"/>
      <c r="X7" s="8">
        <f>X14/X8</f>
        <v>569.4459756328406</v>
      </c>
      <c r="Y7" s="7"/>
      <c r="Z7" s="8">
        <f>Z14/Z8</f>
        <v>592.32158471644493</v>
      </c>
      <c r="AA7" s="7"/>
    </row>
    <row r="8" spans="3:27">
      <c r="C8" s="44" t="s">
        <v>5</v>
      </c>
      <c r="D8" s="9">
        <v>6072</v>
      </c>
      <c r="E8" s="10"/>
      <c r="F8" s="9">
        <v>5807</v>
      </c>
      <c r="G8" s="46"/>
      <c r="H8" s="9" t="s">
        <v>117</v>
      </c>
      <c r="I8" s="10"/>
      <c r="J8" s="9">
        <f>+[1]SM2025!Q16</f>
        <v>3582</v>
      </c>
      <c r="K8" s="10"/>
      <c r="L8" s="9">
        <f>+'[1]SM2026.'!Q16</f>
        <v>5038</v>
      </c>
      <c r="M8" s="10"/>
      <c r="N8" s="9">
        <f>229*22</f>
        <v>5038</v>
      </c>
      <c r="O8" s="10"/>
      <c r="P8" s="9">
        <f>229*22</f>
        <v>5038</v>
      </c>
      <c r="Q8" s="10"/>
      <c r="R8" s="9">
        <f>229*22</f>
        <v>5038</v>
      </c>
      <c r="S8" s="10"/>
      <c r="T8" s="9">
        <f>229*22</f>
        <v>5038</v>
      </c>
      <c r="U8" s="10"/>
      <c r="V8" s="9">
        <f>229*22</f>
        <v>5038</v>
      </c>
      <c r="W8" s="10"/>
      <c r="X8" s="9">
        <f>229*22</f>
        <v>5038</v>
      </c>
      <c r="Y8" s="10"/>
      <c r="Z8" s="9">
        <f>229*22</f>
        <v>5038</v>
      </c>
      <c r="AA8" s="10"/>
    </row>
    <row r="9" spans="3:27">
      <c r="C9" s="44" t="s">
        <v>6</v>
      </c>
      <c r="D9" s="9">
        <v>3880</v>
      </c>
      <c r="E9" s="10"/>
      <c r="F9" s="9">
        <v>4394</v>
      </c>
      <c r="G9" s="46"/>
      <c r="H9" s="9">
        <v>638</v>
      </c>
      <c r="I9" s="10"/>
      <c r="J9" s="9">
        <f>+[1]SM2025!Q17</f>
        <v>2646</v>
      </c>
      <c r="K9" s="10"/>
      <c r="L9" s="34">
        <f>+'[1]SM2026.'!Q17</f>
        <v>3969</v>
      </c>
      <c r="M9" s="10"/>
      <c r="N9" s="34">
        <f>+L9*1.02</f>
        <v>4048.38</v>
      </c>
      <c r="O9" s="10"/>
      <c r="P9" s="34">
        <f>+N9*1.03</f>
        <v>4169.8314</v>
      </c>
      <c r="Q9" s="10"/>
      <c r="R9" s="34">
        <f>+P9*1.01</f>
        <v>4211.5297140000002</v>
      </c>
      <c r="S9" s="10"/>
      <c r="T9" s="34">
        <f>+R9*1</f>
        <v>4211.5297140000002</v>
      </c>
      <c r="U9" s="10"/>
      <c r="V9" s="34">
        <f>+T9*1</f>
        <v>4211.5297140000002</v>
      </c>
      <c r="W9" s="10"/>
      <c r="X9" s="34">
        <f>+V9</f>
        <v>4211.5297140000002</v>
      </c>
      <c r="Y9" s="10"/>
      <c r="Z9" s="34">
        <f>+X9</f>
        <v>4211.5297140000002</v>
      </c>
      <c r="AA9" s="10"/>
    </row>
    <row r="10" spans="3:27">
      <c r="C10" s="44" t="s">
        <v>7</v>
      </c>
      <c r="D10" s="9">
        <v>6686</v>
      </c>
      <c r="E10" s="10"/>
      <c r="F10" s="9">
        <v>7892</v>
      </c>
      <c r="G10" s="46"/>
      <c r="H10" s="9">
        <v>1148.4000000000001</v>
      </c>
      <c r="I10" s="10"/>
      <c r="J10" s="9">
        <f>+[1]SM2025!Q18</f>
        <v>5174</v>
      </c>
      <c r="K10" s="10"/>
      <c r="L10" s="9">
        <f>L9*1.95</f>
        <v>7739.55</v>
      </c>
      <c r="M10" s="10"/>
      <c r="N10" s="9">
        <f>N9*1.95</f>
        <v>7894.3410000000003</v>
      </c>
      <c r="O10" s="10"/>
      <c r="P10" s="9">
        <f>P9*1.95</f>
        <v>8131.1712299999999</v>
      </c>
      <c r="Q10" s="10"/>
      <c r="R10" s="9">
        <f>R9*1.95</f>
        <v>8212.482942300001</v>
      </c>
      <c r="S10" s="10"/>
      <c r="T10" s="9">
        <f>T9*1.95</f>
        <v>8212.482942300001</v>
      </c>
      <c r="U10" s="10"/>
      <c r="V10" s="9">
        <f>V9*1.95</f>
        <v>8212.482942300001</v>
      </c>
      <c r="W10" s="10"/>
      <c r="X10" s="9">
        <f>X9*1.95</f>
        <v>8212.482942300001</v>
      </c>
      <c r="Y10" s="10"/>
      <c r="Z10" s="9">
        <f>Z9*1.95</f>
        <v>8212.482942300001</v>
      </c>
      <c r="AA10" s="10"/>
    </row>
    <row r="11" spans="3:27">
      <c r="C11" s="44" t="s">
        <v>8</v>
      </c>
      <c r="D11" s="9">
        <v>416566.66000000009</v>
      </c>
      <c r="E11" s="11"/>
      <c r="F11" s="9">
        <v>293781.92162694992</v>
      </c>
      <c r="G11" s="47"/>
      <c r="H11" s="9">
        <v>101854.993601375</v>
      </c>
      <c r="I11" s="11"/>
      <c r="J11" s="9">
        <f>+[1]SM2025!Q19*-1</f>
        <v>795078.91587369994</v>
      </c>
      <c r="K11" s="11"/>
      <c r="L11" s="9">
        <f>'[1]SM2026.'!Q19</f>
        <v>1124761.3691</v>
      </c>
      <c r="M11" s="11"/>
      <c r="N11" s="9">
        <f>N18+N38+N45++N64+N74+N79</f>
        <v>1079597.6022363601</v>
      </c>
      <c r="O11" s="11"/>
      <c r="P11" s="9">
        <f>P18+P38+P45++P64+P74+P79</f>
        <v>1101587.3214528244</v>
      </c>
      <c r="Q11" s="11"/>
      <c r="R11" s="9">
        <f>R18+R38+R45++R64+R74+R79</f>
        <v>1124144.1659944847</v>
      </c>
      <c r="S11" s="11"/>
      <c r="T11" s="9">
        <f>T18+T38+T45++T64+T74+T79</f>
        <v>1147285.6858080188</v>
      </c>
      <c r="U11" s="11"/>
      <c r="V11" s="9">
        <f>V18+V38+V45++V64+V74+V79</f>
        <v>1171030.0412786715</v>
      </c>
      <c r="W11" s="11"/>
      <c r="X11" s="9">
        <f>X18+X38+X45++X64+X74+X79</f>
        <v>1195396.0259280303</v>
      </c>
      <c r="Y11" s="11"/>
      <c r="Z11" s="9">
        <f>Z18+Z38+Z45++Z64+Z74+Z79</f>
        <v>1227385.3943017586</v>
      </c>
      <c r="AA11" s="11"/>
    </row>
    <row r="12" spans="3:27">
      <c r="C12" s="44" t="s">
        <v>9</v>
      </c>
      <c r="D12" s="12">
        <v>0.4220469352335382</v>
      </c>
      <c r="E12" s="7"/>
      <c r="F12" s="12">
        <v>0.22647625612031344</v>
      </c>
      <c r="G12" s="45"/>
      <c r="H12" s="12">
        <v>0.22253172008777392</v>
      </c>
      <c r="I12" s="7"/>
      <c r="J12" s="12">
        <f>+[1]SM2025!Q20*-1</f>
        <v>0.76583528122619882</v>
      </c>
      <c r="K12" s="7"/>
      <c r="L12" s="12">
        <f>-'[1]SM2026.'!Q20</f>
        <v>-0.51744531908445102</v>
      </c>
      <c r="M12" s="7"/>
      <c r="N12" s="12">
        <f>N11/N14</f>
        <v>0.46866079091330809</v>
      </c>
      <c r="O12" s="7"/>
      <c r="P12" s="12">
        <f>P11/P14</f>
        <v>0.44957780009451809</v>
      </c>
      <c r="Q12" s="7"/>
      <c r="R12" s="12">
        <f>R11/R14</f>
        <v>0.43816012047396963</v>
      </c>
      <c r="S12" s="7"/>
      <c r="T12" s="12">
        <f>T11/T14</f>
        <v>0.42991225145468326</v>
      </c>
      <c r="U12" s="7"/>
      <c r="V12" s="12">
        <f>V11/V14</f>
        <v>0.42186455588888089</v>
      </c>
      <c r="W12" s="7"/>
      <c r="X12" s="12">
        <f>X11/X14</f>
        <v>0.41667852339981287</v>
      </c>
      <c r="Y12" s="7"/>
      <c r="Z12" s="12">
        <f>Z11/Z14</f>
        <v>0.41130617414180098</v>
      </c>
      <c r="AA12" s="7"/>
    </row>
    <row r="13" spans="3:27">
      <c r="C13" s="48" t="s">
        <v>10</v>
      </c>
      <c r="D13" s="9"/>
      <c r="E13" s="10"/>
      <c r="F13" s="9"/>
      <c r="G13" s="46"/>
      <c r="H13" s="9"/>
      <c r="I13" s="10"/>
      <c r="J13" s="9">
        <f>+[1]SM2025!Q21</f>
        <v>27.535714285714288</v>
      </c>
      <c r="K13" s="10"/>
      <c r="L13" s="9"/>
      <c r="M13" s="10"/>
      <c r="N13" s="9"/>
      <c r="O13" s="10"/>
      <c r="P13" s="9"/>
      <c r="Q13" s="10"/>
      <c r="R13" s="9"/>
      <c r="S13" s="10"/>
      <c r="T13" s="9"/>
      <c r="U13" s="10"/>
      <c r="V13" s="9"/>
      <c r="W13" s="10"/>
      <c r="X13" s="9"/>
      <c r="Y13" s="10"/>
      <c r="Z13" s="9"/>
      <c r="AA13" s="10"/>
    </row>
    <row r="14" spans="3:27">
      <c r="C14" s="49" t="s">
        <v>48</v>
      </c>
      <c r="D14" s="13">
        <v>987015.01000000013</v>
      </c>
      <c r="E14" s="14"/>
      <c r="F14" s="13">
        <v>1297186.4099999999</v>
      </c>
      <c r="G14" s="50"/>
      <c r="H14" s="13">
        <v>457710</v>
      </c>
      <c r="I14" s="14"/>
      <c r="J14" s="13">
        <f>+[1]SM2025!Q22</f>
        <v>1038185.2799999999</v>
      </c>
      <c r="K14" s="14"/>
      <c r="L14" s="13">
        <f>L17+L25+L44+L52+L57</f>
        <v>2173681.6</v>
      </c>
      <c r="M14" s="14"/>
      <c r="N14" s="13">
        <f>N17+N25+N44+N52+N57</f>
        <v>2303579.9519999996</v>
      </c>
      <c r="O14" s="14"/>
      <c r="P14" s="13">
        <f>P17+P25+P44+P52+P57</f>
        <v>2450270.7233792003</v>
      </c>
      <c r="Q14" s="14"/>
      <c r="R14" s="13">
        <f>R17+R25+R44+R52+R57</f>
        <v>2565601.2801403916</v>
      </c>
      <c r="S14" s="14"/>
      <c r="T14" s="13">
        <f>T17+T25+T44+T52+T57</f>
        <v>2668650.8279910078</v>
      </c>
      <c r="U14" s="14"/>
      <c r="V14" s="13">
        <f>V17+V25+V44+V52+V57</f>
        <v>2775843.6325878981</v>
      </c>
      <c r="W14" s="14"/>
      <c r="X14" s="13">
        <f>X17+X25+X44+X52+X57</f>
        <v>2868868.8252382511</v>
      </c>
      <c r="Y14" s="14"/>
      <c r="Z14" s="13">
        <f>Z17+Z25+Z44+Z52+Z57</f>
        <v>2984116.1438014493</v>
      </c>
      <c r="AA14" s="14"/>
    </row>
    <row r="15" spans="3:27">
      <c r="C15" s="44"/>
      <c r="D15" s="15"/>
      <c r="E15" s="16"/>
      <c r="F15" s="15"/>
      <c r="G15" s="4"/>
      <c r="H15" s="15"/>
      <c r="I15" s="16"/>
      <c r="J15" s="15"/>
      <c r="K15" s="16"/>
      <c r="L15" s="15"/>
      <c r="M15" s="16"/>
      <c r="N15" s="15"/>
      <c r="O15" s="16"/>
      <c r="P15" s="15"/>
      <c r="Q15" s="16"/>
      <c r="R15" s="15"/>
      <c r="S15" s="16"/>
      <c r="T15" s="15"/>
      <c r="U15" s="16"/>
      <c r="V15" s="15"/>
      <c r="W15" s="16"/>
      <c r="X15" s="15"/>
      <c r="Y15" s="16"/>
      <c r="Z15" s="15"/>
      <c r="AA15" s="16"/>
    </row>
    <row r="16" spans="3:27">
      <c r="C16" s="51" t="s">
        <v>11</v>
      </c>
      <c r="D16" s="17"/>
      <c r="E16" s="18"/>
      <c r="F16" s="17"/>
      <c r="G16" s="1"/>
      <c r="H16" s="17"/>
      <c r="I16" s="18"/>
      <c r="J16" s="17"/>
      <c r="K16" s="18"/>
      <c r="L16" s="17"/>
      <c r="M16" s="18"/>
      <c r="N16" s="17"/>
      <c r="O16" s="18"/>
      <c r="P16" s="17"/>
      <c r="Q16" s="18"/>
      <c r="R16" s="17"/>
      <c r="S16" s="18"/>
      <c r="T16" s="17"/>
      <c r="U16" s="18"/>
      <c r="V16" s="17"/>
      <c r="W16" s="18"/>
      <c r="X16" s="17"/>
      <c r="Y16" s="18"/>
      <c r="Z16" s="17"/>
      <c r="AA16" s="18"/>
    </row>
    <row r="17" spans="3:27">
      <c r="C17" s="44" t="s">
        <v>12</v>
      </c>
      <c r="D17" s="19">
        <v>646744.66</v>
      </c>
      <c r="E17" s="20"/>
      <c r="F17" s="19">
        <v>805174.96999999986</v>
      </c>
      <c r="G17" s="52"/>
      <c r="H17" s="19">
        <v>347710</v>
      </c>
      <c r="I17" s="20"/>
      <c r="J17" s="19">
        <f>+[1]SM2025!Q25</f>
        <v>629543.50999999989</v>
      </c>
      <c r="K17" s="20"/>
      <c r="L17" s="19">
        <f>L5*L9</f>
        <v>1431270</v>
      </c>
      <c r="M17" s="20"/>
      <c r="N17" s="19">
        <f>N5*N9</f>
        <v>1518291.216</v>
      </c>
      <c r="O17" s="20"/>
      <c r="P17" s="19">
        <f>P5*P9</f>
        <v>1626393.5505791998</v>
      </c>
      <c r="Q17" s="20"/>
      <c r="R17" s="19">
        <f>R5*R9</f>
        <v>1708363.7855283916</v>
      </c>
      <c r="S17" s="20"/>
      <c r="T17" s="19">
        <f>T5*T9</f>
        <v>1776698.3369495275</v>
      </c>
      <c r="U17" s="20"/>
      <c r="V17" s="19">
        <f>V5*V9</f>
        <v>1847766.2704275085</v>
      </c>
      <c r="W17" s="20"/>
      <c r="X17" s="19">
        <f>X5*X9</f>
        <v>1903199.2585403339</v>
      </c>
      <c r="Y17" s="20"/>
      <c r="Z17" s="19">
        <f>Z5*Z9</f>
        <v>1979327.2288819472</v>
      </c>
      <c r="AA17" s="20"/>
    </row>
    <row r="18" spans="3:27">
      <c r="C18" s="44" t="s">
        <v>13</v>
      </c>
      <c r="D18" s="19">
        <v>183180.15719999999</v>
      </c>
      <c r="E18" s="20">
        <f>+D18/D17</f>
        <v>0.28323412395859593</v>
      </c>
      <c r="F18" s="19">
        <v>137062.30620280001</v>
      </c>
      <c r="G18" s="52">
        <f>+F18/F17</f>
        <v>0.17022673494532503</v>
      </c>
      <c r="H18" s="19">
        <v>23379.057135000003</v>
      </c>
      <c r="I18" s="20">
        <f>+H18/H17</f>
        <v>6.7237229688533559E-2</v>
      </c>
      <c r="J18" s="19">
        <f>+[1]SM2025!Q26*-1</f>
        <v>232789.46207280003</v>
      </c>
      <c r="K18" s="20">
        <f>+J18/J17</f>
        <v>0.36977501693695497</v>
      </c>
      <c r="L18" s="35">
        <f>-'[1]SM2026.'!Q26</f>
        <v>306994.57000000007</v>
      </c>
      <c r="M18" s="20">
        <f>+L18/L17</f>
        <v>0.21449102545291948</v>
      </c>
      <c r="N18" s="35">
        <f>+L18*1.03</f>
        <v>316204.40710000007</v>
      </c>
      <c r="O18" s="20">
        <f>+N18/N17</f>
        <v>0.20826334484964845</v>
      </c>
      <c r="P18" s="35">
        <f>+N18*1.02</f>
        <v>322528.49524200009</v>
      </c>
      <c r="Q18" s="20">
        <f>+P18/P17</f>
        <v>0.19830901021904543</v>
      </c>
      <c r="R18" s="35">
        <f>+P18*1.02</f>
        <v>328979.06514684012</v>
      </c>
      <c r="S18" s="20">
        <f>+R18/R17</f>
        <v>0.19256967862093138</v>
      </c>
      <c r="T18" s="35">
        <f>+R18*1.02</f>
        <v>335558.64644977695</v>
      </c>
      <c r="U18" s="20">
        <f>+T18/T17</f>
        <v>0.18886641557052886</v>
      </c>
      <c r="V18" s="35">
        <f>+T18*1.02</f>
        <v>342269.81937877252</v>
      </c>
      <c r="W18" s="20">
        <f>+V18/V17</f>
        <v>0.18523436911724947</v>
      </c>
      <c r="X18" s="35">
        <f>+V18*1.02</f>
        <v>349115.215766348</v>
      </c>
      <c r="Y18" s="20">
        <f>+X18/X17</f>
        <v>0.18343597718407229</v>
      </c>
      <c r="Z18" s="35">
        <f>+X18*1.04</f>
        <v>363079.82439700194</v>
      </c>
      <c r="AA18" s="20">
        <f>+Z18/Z17</f>
        <v>0.18343597718407231</v>
      </c>
    </row>
    <row r="19" spans="3:27">
      <c r="C19" s="44" t="s">
        <v>49</v>
      </c>
      <c r="D19" s="19">
        <v>515.25</v>
      </c>
      <c r="E19" s="20">
        <f>+D19/D17</f>
        <v>7.9668226406384235E-4</v>
      </c>
      <c r="F19" s="19">
        <v>19588.589661526901</v>
      </c>
      <c r="G19" s="52">
        <f>+F19/F17</f>
        <v>2.4328363885338988E-2</v>
      </c>
      <c r="H19" s="19">
        <v>39986.65</v>
      </c>
      <c r="I19" s="20">
        <f>+H19/H17</f>
        <v>0.115</v>
      </c>
      <c r="J19" s="19">
        <f>+[1]SM2025!Q27*-1</f>
        <v>31305</v>
      </c>
      <c r="K19" s="20">
        <v>0.13500000000000001</v>
      </c>
      <c r="L19" s="19">
        <f>-'[1]SM2026.'!Q27</f>
        <v>85876.2</v>
      </c>
      <c r="M19" s="20">
        <f>+K19-0.1%</f>
        <v>0.13400000000000001</v>
      </c>
      <c r="N19" s="19">
        <f>+N17*O19</f>
        <v>201932.73172800001</v>
      </c>
      <c r="O19" s="20">
        <f>+M19-0.1%</f>
        <v>0.13300000000000001</v>
      </c>
      <c r="P19" s="19">
        <f>+P17*Q19</f>
        <v>216310.34222703357</v>
      </c>
      <c r="Q19" s="20">
        <v>0.13300000000000001</v>
      </c>
      <c r="R19" s="19">
        <f>+R17*S19</f>
        <v>227212.38347527609</v>
      </c>
      <c r="S19" s="20">
        <v>0.13300000000000001</v>
      </c>
      <c r="T19" s="19">
        <f>+T17*U19</f>
        <v>236300.87881428716</v>
      </c>
      <c r="U19" s="20">
        <v>0.13300000000000001</v>
      </c>
      <c r="V19" s="19">
        <f>+V17*W19</f>
        <v>245752.91396685864</v>
      </c>
      <c r="W19" s="20">
        <v>0.13300000000000001</v>
      </c>
      <c r="X19" s="19">
        <f>+X17*Y19</f>
        <v>253125.50138586442</v>
      </c>
      <c r="Y19" s="20">
        <v>0.13300000000000001</v>
      </c>
      <c r="Z19" s="19">
        <f>+Z17*AA19</f>
        <v>263250.521441299</v>
      </c>
      <c r="AA19" s="20">
        <v>0.13300000000000001</v>
      </c>
    </row>
    <row r="20" spans="3:27">
      <c r="C20" s="44" t="s">
        <v>14</v>
      </c>
      <c r="D20" s="19">
        <v>111914</v>
      </c>
      <c r="E20" s="20">
        <f>+D20/D17</f>
        <v>0.17304201630362126</v>
      </c>
      <c r="F20" s="19">
        <v>143410.429231452</v>
      </c>
      <c r="G20" s="52">
        <f>+F20/F17</f>
        <v>0.17811088840907713</v>
      </c>
      <c r="H20" s="19">
        <v>0</v>
      </c>
      <c r="I20" s="20">
        <f>+H20/H17</f>
        <v>0</v>
      </c>
      <c r="J20" s="19">
        <f>+[1]SM2025!Q28*-1</f>
        <v>93851.34</v>
      </c>
      <c r="K20" s="20">
        <v>3.5000000000000003E-2</v>
      </c>
      <c r="L20" s="19">
        <f>-'[1]SM2026.'!Q29</f>
        <v>165623.48332730561</v>
      </c>
      <c r="M20" s="20">
        <f>+K20-0.05%</f>
        <v>3.4500000000000003E-2</v>
      </c>
      <c r="N20" s="19">
        <f>+N17*O20</f>
        <v>51621.901344000005</v>
      </c>
      <c r="O20" s="20">
        <f>+M20-0.05%</f>
        <v>3.4000000000000002E-2</v>
      </c>
      <c r="P20" s="19">
        <f>+P17*Q20</f>
        <v>54484.183944403194</v>
      </c>
      <c r="Q20" s="20">
        <f>+O20-0.05%</f>
        <v>3.3500000000000002E-2</v>
      </c>
      <c r="R20" s="19">
        <f>+R17*S20</f>
        <v>56376.004922436929</v>
      </c>
      <c r="S20" s="20">
        <f>+Q20-0.05%</f>
        <v>3.3000000000000002E-2</v>
      </c>
      <c r="T20" s="19">
        <f>+T17*U20</f>
        <v>57742.695950859648</v>
      </c>
      <c r="U20" s="20">
        <f>+S20-0.05%</f>
        <v>3.2500000000000001E-2</v>
      </c>
      <c r="V20" s="19">
        <f>+V17*W20</f>
        <v>60052.403788894029</v>
      </c>
      <c r="W20" s="20">
        <f>+U20</f>
        <v>3.2500000000000001E-2</v>
      </c>
      <c r="X20" s="19">
        <f>+X17*Y20</f>
        <v>61853.975902560858</v>
      </c>
      <c r="Y20" s="20">
        <f>+W20</f>
        <v>3.2500000000000001E-2</v>
      </c>
      <c r="Z20" s="19">
        <f>+Z17*AA20</f>
        <v>64328.134938663286</v>
      </c>
      <c r="AA20" s="20">
        <f>+Y20</f>
        <v>3.2500000000000001E-2</v>
      </c>
    </row>
    <row r="21" spans="3:27">
      <c r="C21" s="44" t="s">
        <v>50</v>
      </c>
      <c r="D21" s="19">
        <v>112429.25</v>
      </c>
      <c r="E21" s="20"/>
      <c r="F21" s="19"/>
      <c r="G21" s="52"/>
      <c r="H21" s="19"/>
      <c r="I21" s="20"/>
      <c r="J21" s="19">
        <f>+[1]SM2025!Q29*-1</f>
        <v>93851.34</v>
      </c>
      <c r="K21" s="20"/>
      <c r="L21" s="19">
        <f>+L20+L19</f>
        <v>251499.6833273056</v>
      </c>
      <c r="M21" s="20"/>
      <c r="N21" s="19">
        <f>+N20+N19</f>
        <v>253554.63307200003</v>
      </c>
      <c r="O21" s="20"/>
      <c r="P21" s="19">
        <f>+P20+P19</f>
        <v>270794.52617143677</v>
      </c>
      <c r="Q21" s="20"/>
      <c r="R21" s="19">
        <f>+R20+R19</f>
        <v>283588.38839771302</v>
      </c>
      <c r="S21" s="20"/>
      <c r="T21" s="19">
        <f>+T20+T19</f>
        <v>294043.57476514683</v>
      </c>
      <c r="U21" s="20"/>
      <c r="V21" s="19">
        <f>+V20+V19</f>
        <v>305805.31775575265</v>
      </c>
      <c r="W21" s="20"/>
      <c r="X21" s="19">
        <f>+X20+X19</f>
        <v>314979.47728842526</v>
      </c>
      <c r="Y21" s="20"/>
      <c r="Z21" s="19">
        <f>+Z20+Z19</f>
        <v>327578.65637996228</v>
      </c>
      <c r="AA21" s="20"/>
    </row>
    <row r="22" spans="3:27">
      <c r="C22" s="49" t="s">
        <v>15</v>
      </c>
      <c r="D22" s="19">
        <v>351135.25280000002</v>
      </c>
      <c r="E22" s="20">
        <f>+D22/D17</f>
        <v>0.54292717747371888</v>
      </c>
      <c r="F22" s="19">
        <v>505113.64490422164</v>
      </c>
      <c r="G22" s="52">
        <f>+F22/F17</f>
        <v>0.62733401276025968</v>
      </c>
      <c r="H22" s="19">
        <v>284344.29286500002</v>
      </c>
      <c r="I22" s="20">
        <f>+H22/H17</f>
        <v>0.81776277031146649</v>
      </c>
      <c r="J22" s="19">
        <f>+[1]SM2025!Q30</f>
        <v>254901.70792719998</v>
      </c>
      <c r="K22" s="20">
        <f>+J22/J17</f>
        <v>0.40489927046853369</v>
      </c>
      <c r="L22" s="19">
        <f>+L17-L18-L21</f>
        <v>872775.74667269434</v>
      </c>
      <c r="M22" s="20">
        <f>+L22/L17</f>
        <v>0.6097911272315456</v>
      </c>
      <c r="N22" s="19">
        <f>+N17-N18-N21</f>
        <v>948532.17582800006</v>
      </c>
      <c r="O22" s="20">
        <f>+N22/N17</f>
        <v>0.62473665515035159</v>
      </c>
      <c r="P22" s="19">
        <f>+P17-P18-P21</f>
        <v>1033070.5291657629</v>
      </c>
      <c r="Q22" s="20">
        <f>+P22/P17</f>
        <v>0.63519098978095456</v>
      </c>
      <c r="R22" s="19">
        <f>+R17-R18-R21</f>
        <v>1095796.3319838385</v>
      </c>
      <c r="S22" s="20">
        <f>+R22/R17</f>
        <v>0.64143032137906864</v>
      </c>
      <c r="T22" s="19">
        <f>+T17-T18-T21</f>
        <v>1147096.1157346037</v>
      </c>
      <c r="U22" s="20">
        <f>+T22/T17</f>
        <v>0.64563358442947116</v>
      </c>
      <c r="V22" s="19">
        <f>+V17-V18-V21</f>
        <v>1199691.1332929833</v>
      </c>
      <c r="W22" s="20">
        <f>+V22/V17</f>
        <v>0.64926563088275047</v>
      </c>
      <c r="X22" s="19">
        <f>+X17-X18-X21</f>
        <v>1239104.5654855608</v>
      </c>
      <c r="Y22" s="20">
        <f>+X22/X17</f>
        <v>0.65106402281592779</v>
      </c>
      <c r="Z22" s="19">
        <f>+Z17-Z18-Z21</f>
        <v>1288668.748104983</v>
      </c>
      <c r="AA22" s="20">
        <f>+Z22/Z17</f>
        <v>0.65106402281592768</v>
      </c>
    </row>
    <row r="23" spans="3:27">
      <c r="C23" s="44"/>
      <c r="D23" s="17"/>
      <c r="E23" s="18"/>
      <c r="F23" s="17"/>
      <c r="G23" s="1"/>
      <c r="H23" s="17"/>
      <c r="I23" s="18"/>
      <c r="J23" s="17"/>
      <c r="K23" s="18"/>
      <c r="L23" s="17"/>
      <c r="M23" s="18"/>
      <c r="N23" s="17"/>
      <c r="O23" s="18"/>
      <c r="P23" s="17"/>
      <c r="Q23" s="18"/>
      <c r="R23" s="17"/>
      <c r="S23" s="18"/>
      <c r="T23" s="17"/>
      <c r="U23" s="18"/>
      <c r="V23" s="17"/>
      <c r="W23" s="18"/>
      <c r="X23" s="17"/>
      <c r="Y23" s="18"/>
      <c r="Z23" s="17"/>
      <c r="AA23" s="18"/>
    </row>
    <row r="24" spans="3:27">
      <c r="C24" s="51" t="s">
        <v>16</v>
      </c>
      <c r="D24" s="17"/>
      <c r="E24" s="18"/>
      <c r="F24" s="21"/>
      <c r="G24" s="1"/>
      <c r="H24" s="21"/>
      <c r="I24" s="18"/>
      <c r="J24" s="21"/>
      <c r="K24" s="18"/>
      <c r="L24" s="21"/>
      <c r="M24" s="18"/>
      <c r="N24" s="17"/>
      <c r="O24" s="18"/>
      <c r="P24" s="17"/>
      <c r="Q24" s="18"/>
      <c r="R24" s="17"/>
      <c r="S24" s="18"/>
      <c r="T24" s="17"/>
      <c r="U24" s="18"/>
      <c r="V24" s="17"/>
      <c r="W24" s="18"/>
      <c r="X24" s="17"/>
      <c r="Y24" s="18"/>
      <c r="Z24" s="17"/>
      <c r="AA24" s="18"/>
    </row>
    <row r="25" spans="3:27">
      <c r="C25" s="44" t="s">
        <v>17</v>
      </c>
      <c r="D25" s="19">
        <v>338718.54000000004</v>
      </c>
      <c r="E25" s="20"/>
      <c r="F25" s="19">
        <v>483092.74000000005</v>
      </c>
      <c r="G25" s="52"/>
      <c r="H25" s="19">
        <v>110000</v>
      </c>
      <c r="I25" s="20"/>
      <c r="J25" s="19">
        <f>+[1]SM2025!Q33</f>
        <v>381737.49</v>
      </c>
      <c r="K25" s="20"/>
      <c r="L25" s="35">
        <f>+'[1]SM2026.'!Q34</f>
        <v>640655.6</v>
      </c>
      <c r="M25" s="20"/>
      <c r="N25" s="35">
        <f>+L25*1.06</f>
        <v>679094.93599999999</v>
      </c>
      <c r="O25" s="20"/>
      <c r="P25" s="35">
        <f>+N25*1.05</f>
        <v>713049.68280000007</v>
      </c>
      <c r="Q25" s="20"/>
      <c r="R25" s="35">
        <f>+P25*1.04</f>
        <v>741571.67011200008</v>
      </c>
      <c r="S25" s="20"/>
      <c r="T25" s="35">
        <f>+R25*1.04</f>
        <v>771234.53691648017</v>
      </c>
      <c r="U25" s="20"/>
      <c r="V25" s="35">
        <f>+T25*1.04</f>
        <v>802083.91839313938</v>
      </c>
      <c r="W25" s="20"/>
      <c r="X25" s="35">
        <f>+V25*1.04</f>
        <v>834167.27512886503</v>
      </c>
      <c r="Y25" s="20"/>
      <c r="Z25" s="35">
        <f>+X25*1.04</f>
        <v>867533.96613401966</v>
      </c>
      <c r="AA25" s="20"/>
    </row>
    <row r="26" spans="3:27">
      <c r="C26" s="44" t="s">
        <v>18</v>
      </c>
      <c r="D26" s="19">
        <v>147321.11000000002</v>
      </c>
      <c r="E26" s="20"/>
      <c r="F26" s="19">
        <v>391227.62</v>
      </c>
      <c r="G26" s="52"/>
      <c r="H26" s="19">
        <v>69300</v>
      </c>
      <c r="I26" s="20"/>
      <c r="J26" s="19">
        <f>+[1]SM2025!Q34</f>
        <v>275859.33</v>
      </c>
      <c r="K26" s="20"/>
      <c r="L26" s="19">
        <f>+'[1]SM2026.'!Q35</f>
        <v>464545.1</v>
      </c>
      <c r="M26" s="20"/>
      <c r="N26" s="19">
        <f>N25*(L26/L25)</f>
        <v>492417.80599999998</v>
      </c>
      <c r="O26" s="20"/>
      <c r="P26" s="19">
        <f>P25*(N26/N25)</f>
        <v>517038.69630000001</v>
      </c>
      <c r="Q26" s="20"/>
      <c r="R26" s="19">
        <f>R25*(P26/P25)</f>
        <v>537720.24415200006</v>
      </c>
      <c r="S26" s="20"/>
      <c r="T26" s="19">
        <f>T25*(R26/R25)</f>
        <v>559229.05391808006</v>
      </c>
      <c r="U26" s="20"/>
      <c r="V26" s="19">
        <f>V25*(T26/T25)</f>
        <v>581598.21607480326</v>
      </c>
      <c r="W26" s="20"/>
      <c r="X26" s="19">
        <f>X25*(V26/V25)</f>
        <v>604862.14471779543</v>
      </c>
      <c r="Y26" s="20"/>
      <c r="Z26" s="19">
        <f>Z25*(X26/X25)</f>
        <v>629056.63050650724</v>
      </c>
      <c r="AA26" s="20"/>
    </row>
    <row r="27" spans="3:27">
      <c r="C27" s="44" t="s">
        <v>19</v>
      </c>
      <c r="D27" s="19">
        <v>44845.020000000004</v>
      </c>
      <c r="E27" s="20"/>
      <c r="F27" s="19">
        <v>86674.069999999992</v>
      </c>
      <c r="G27" s="52"/>
      <c r="H27" s="19">
        <v>40700</v>
      </c>
      <c r="I27" s="20"/>
      <c r="J27" s="19">
        <f>+[1]SM2025!Q35</f>
        <v>105878.16</v>
      </c>
      <c r="K27" s="20"/>
      <c r="L27" s="19">
        <f>+'[1]SM2026.'!Q36</f>
        <v>176110.5</v>
      </c>
      <c r="M27" s="20"/>
      <c r="N27" s="19">
        <f>N25*(L27/L25)</f>
        <v>186677.13</v>
      </c>
      <c r="O27" s="20"/>
      <c r="P27" s="19">
        <f>P25*(N27/N25)</f>
        <v>196010.98650000003</v>
      </c>
      <c r="Q27" s="20"/>
      <c r="R27" s="19">
        <f>R25*(P27/P25)</f>
        <v>203851.42596000005</v>
      </c>
      <c r="S27" s="20"/>
      <c r="T27" s="19">
        <f>T25*(R27/R25)</f>
        <v>212005.48299840005</v>
      </c>
      <c r="U27" s="20"/>
      <c r="V27" s="19">
        <f>V25*(T27/T25)</f>
        <v>220485.70231833606</v>
      </c>
      <c r="W27" s="20"/>
      <c r="X27" s="19">
        <f>X25*(V27/V25)</f>
        <v>229305.13041106952</v>
      </c>
      <c r="Y27" s="20"/>
      <c r="Z27" s="19">
        <f>Z25*(X27/X25)</f>
        <v>238477.33562751234</v>
      </c>
      <c r="AA27" s="20"/>
    </row>
    <row r="28" spans="3:27">
      <c r="C28" s="44" t="s">
        <v>51</v>
      </c>
      <c r="D28" s="19">
        <v>146552.41</v>
      </c>
      <c r="E28" s="20"/>
      <c r="F28" s="19">
        <v>5191.05</v>
      </c>
      <c r="G28" s="52"/>
      <c r="H28" s="19">
        <v>28</v>
      </c>
      <c r="I28" s="20"/>
      <c r="J28" s="19"/>
      <c r="K28" s="20"/>
      <c r="L28" s="19"/>
      <c r="M28" s="20"/>
      <c r="N28" s="19">
        <v>0</v>
      </c>
      <c r="O28" s="20"/>
      <c r="P28" s="19">
        <v>0</v>
      </c>
      <c r="Q28" s="20"/>
      <c r="R28" s="19">
        <v>0</v>
      </c>
      <c r="S28" s="20"/>
      <c r="T28" s="19">
        <v>0</v>
      </c>
      <c r="U28" s="20"/>
      <c r="V28" s="19">
        <v>0</v>
      </c>
      <c r="W28" s="20"/>
      <c r="X28" s="19">
        <v>0</v>
      </c>
      <c r="Y28" s="20"/>
      <c r="Z28" s="19">
        <v>0</v>
      </c>
      <c r="AA28" s="20"/>
    </row>
    <row r="29" spans="3:27">
      <c r="C29" s="44" t="s">
        <v>20</v>
      </c>
      <c r="D29" s="19">
        <v>85269.95</v>
      </c>
      <c r="E29" s="20"/>
      <c r="F29" s="19">
        <v>159616.98375000001</v>
      </c>
      <c r="G29" s="52"/>
      <c r="H29" s="19">
        <v>19404.000000000004</v>
      </c>
      <c r="I29" s="20"/>
      <c r="J29" s="19">
        <f>+[1]SM2025!Q36*-1</f>
        <v>86545.04</v>
      </c>
      <c r="K29" s="20"/>
      <c r="L29" s="19">
        <f>-'[1]SM2026.'!Q37</f>
        <v>116136.27499999999</v>
      </c>
      <c r="M29" s="20"/>
      <c r="N29" s="19">
        <f>N26*(L29/L26)</f>
        <v>123104.4515</v>
      </c>
      <c r="O29" s="20"/>
      <c r="P29" s="19">
        <f>P26*(N29/N26)</f>
        <v>129259.674075</v>
      </c>
      <c r="Q29" s="20"/>
      <c r="R29" s="19">
        <f>R26*(P29/P26)</f>
        <v>134430.06103800001</v>
      </c>
      <c r="S29" s="20"/>
      <c r="T29" s="19">
        <f>T26*(R29/R26)</f>
        <v>139807.26347952001</v>
      </c>
      <c r="U29" s="20"/>
      <c r="V29" s="19">
        <f>V26*(T29/T26)</f>
        <v>145399.55401870082</v>
      </c>
      <c r="W29" s="20"/>
      <c r="X29" s="19">
        <f>X26*(V29/V26)</f>
        <v>151215.53617944886</v>
      </c>
      <c r="Y29" s="20"/>
      <c r="Z29" s="19">
        <f>Z26*(X29/X26)</f>
        <v>157264.15762662681</v>
      </c>
      <c r="AA29" s="20"/>
    </row>
    <row r="30" spans="3:27">
      <c r="C30" s="53" t="s">
        <v>52</v>
      </c>
      <c r="D30" s="19">
        <v>0</v>
      </c>
      <c r="E30" s="20"/>
      <c r="F30" s="19"/>
      <c r="G30" s="52"/>
      <c r="H30" s="19"/>
      <c r="I30" s="20"/>
      <c r="J30" s="19"/>
      <c r="K30" s="20"/>
      <c r="L30" s="19"/>
      <c r="M30" s="20"/>
      <c r="N30" s="19"/>
      <c r="O30" s="20"/>
      <c r="P30" s="19"/>
      <c r="Q30" s="20"/>
      <c r="R30" s="19"/>
      <c r="S30" s="20"/>
      <c r="T30" s="19"/>
      <c r="U30" s="20"/>
      <c r="V30" s="19"/>
      <c r="W30" s="20"/>
      <c r="X30" s="19"/>
      <c r="Y30" s="20"/>
      <c r="Z30" s="19"/>
      <c r="AA30" s="20"/>
    </row>
    <row r="31" spans="3:27">
      <c r="C31" s="54" t="s">
        <v>53</v>
      </c>
      <c r="D31" s="19">
        <v>1647</v>
      </c>
      <c r="E31" s="20"/>
      <c r="F31" s="19"/>
      <c r="G31" s="52"/>
      <c r="H31" s="19"/>
      <c r="I31" s="20"/>
      <c r="J31" s="19"/>
      <c r="K31" s="20"/>
      <c r="L31" s="19"/>
      <c r="M31" s="20"/>
      <c r="N31" s="19"/>
      <c r="O31" s="20"/>
      <c r="P31" s="19"/>
      <c r="Q31" s="20"/>
      <c r="R31" s="19"/>
      <c r="S31" s="20"/>
      <c r="T31" s="19"/>
      <c r="U31" s="20"/>
      <c r="V31" s="19"/>
      <c r="W31" s="20"/>
      <c r="X31" s="19"/>
      <c r="Y31" s="20"/>
      <c r="Z31" s="19"/>
      <c r="AA31" s="20"/>
    </row>
    <row r="32" spans="3:27">
      <c r="C32" s="55" t="s">
        <v>54</v>
      </c>
      <c r="D32" s="19">
        <v>52021.87</v>
      </c>
      <c r="E32" s="20"/>
      <c r="F32" s="19"/>
      <c r="G32" s="52"/>
      <c r="H32" s="19"/>
      <c r="I32" s="20"/>
      <c r="J32" s="19"/>
      <c r="K32" s="20"/>
      <c r="L32" s="19"/>
      <c r="M32" s="20"/>
      <c r="N32" s="19"/>
      <c r="O32" s="20"/>
      <c r="P32" s="19"/>
      <c r="Q32" s="20"/>
      <c r="R32" s="19"/>
      <c r="S32" s="20"/>
      <c r="T32" s="19"/>
      <c r="U32" s="20"/>
      <c r="V32" s="19"/>
      <c r="W32" s="20"/>
      <c r="X32" s="19"/>
      <c r="Y32" s="20"/>
      <c r="Z32" s="19"/>
      <c r="AA32" s="20"/>
    </row>
    <row r="33" spans="3:27">
      <c r="C33" s="44" t="s">
        <v>21</v>
      </c>
      <c r="D33" s="19">
        <v>25881.599999999999</v>
      </c>
      <c r="E33" s="20"/>
      <c r="F33" s="19">
        <v>27852.8475</v>
      </c>
      <c r="G33" s="52"/>
      <c r="H33" s="19">
        <v>8954</v>
      </c>
      <c r="I33" s="20"/>
      <c r="J33" s="19">
        <f>+[1]SM2025!Q37*-1</f>
        <v>24476.379999999997</v>
      </c>
      <c r="K33" s="20"/>
      <c r="L33" s="19">
        <f>-'[1]SM2026.'!Q38</f>
        <v>38744.31</v>
      </c>
      <c r="M33" s="20"/>
      <c r="N33" s="19">
        <f>N27*(L33/L27)</f>
        <v>41068.968599999993</v>
      </c>
      <c r="O33" s="20"/>
      <c r="P33" s="19">
        <f>P27*(N33/N27)</f>
        <v>43122.417029999997</v>
      </c>
      <c r="Q33" s="20"/>
      <c r="R33" s="19">
        <f>R27*(P33/P27)</f>
        <v>44847.313711199997</v>
      </c>
      <c r="S33" s="20"/>
      <c r="T33" s="19">
        <f>T27*(R33/R27)</f>
        <v>46641.206259647995</v>
      </c>
      <c r="U33" s="20"/>
      <c r="V33" s="19">
        <f>V27*(T33/T27)</f>
        <v>48506.854510033918</v>
      </c>
      <c r="W33" s="20"/>
      <c r="X33" s="19">
        <f>X27*(V33/V27)</f>
        <v>50447.128690435282</v>
      </c>
      <c r="Y33" s="20"/>
      <c r="Z33" s="19">
        <f>Z27*(X33/X27)</f>
        <v>52465.013838052699</v>
      </c>
      <c r="AA33" s="20"/>
    </row>
    <row r="34" spans="3:27">
      <c r="C34" s="54" t="s">
        <v>55</v>
      </c>
      <c r="D34" s="19">
        <v>127.01</v>
      </c>
      <c r="E34" s="20"/>
      <c r="F34" s="19"/>
      <c r="G34" s="52"/>
      <c r="H34" s="19"/>
      <c r="I34" s="20"/>
      <c r="J34" s="19"/>
      <c r="K34" s="20"/>
      <c r="L34" s="19"/>
      <c r="M34" s="20"/>
      <c r="N34" s="19"/>
      <c r="O34" s="20"/>
      <c r="P34" s="19"/>
      <c r="Q34" s="20"/>
      <c r="R34" s="19"/>
      <c r="S34" s="20"/>
      <c r="T34" s="19"/>
      <c r="U34" s="20"/>
      <c r="V34" s="19"/>
      <c r="W34" s="20"/>
      <c r="X34" s="19"/>
      <c r="Y34" s="20"/>
      <c r="Z34" s="19"/>
      <c r="AA34" s="20"/>
    </row>
    <row r="35" spans="3:27">
      <c r="C35" s="55" t="s">
        <v>56</v>
      </c>
      <c r="D35" s="19">
        <v>12518.68</v>
      </c>
      <c r="E35" s="20"/>
      <c r="F35" s="19"/>
      <c r="G35" s="52"/>
      <c r="H35" s="19"/>
      <c r="I35" s="20"/>
      <c r="J35" s="19"/>
      <c r="K35" s="20"/>
      <c r="L35" s="19"/>
      <c r="M35" s="20"/>
      <c r="N35" s="19"/>
      <c r="O35" s="20"/>
      <c r="P35" s="19"/>
      <c r="Q35" s="20"/>
      <c r="R35" s="19"/>
      <c r="S35" s="20"/>
      <c r="T35" s="19"/>
      <c r="U35" s="20"/>
      <c r="V35" s="19"/>
      <c r="W35" s="20"/>
      <c r="X35" s="19"/>
      <c r="Y35" s="20"/>
      <c r="Z35" s="19"/>
      <c r="AA35" s="20"/>
    </row>
    <row r="36" spans="3:27">
      <c r="C36" s="44" t="s">
        <v>57</v>
      </c>
      <c r="D36" s="19">
        <v>1752.63</v>
      </c>
      <c r="E36" s="20"/>
      <c r="F36" s="19">
        <v>1732.32</v>
      </c>
      <c r="G36" s="52"/>
      <c r="H36" s="19"/>
      <c r="I36" s="20"/>
      <c r="J36" s="19"/>
      <c r="K36" s="20"/>
      <c r="L36" s="19"/>
      <c r="M36" s="20"/>
      <c r="N36" s="19"/>
      <c r="O36" s="20"/>
      <c r="P36" s="19"/>
      <c r="Q36" s="20"/>
      <c r="R36" s="19"/>
      <c r="S36" s="20"/>
      <c r="T36" s="19"/>
      <c r="U36" s="20"/>
      <c r="V36" s="19"/>
      <c r="W36" s="20"/>
      <c r="X36" s="19"/>
      <c r="Y36" s="20"/>
      <c r="Z36" s="19"/>
      <c r="AA36" s="20"/>
    </row>
    <row r="37" spans="3:27">
      <c r="C37" s="44" t="s">
        <v>22</v>
      </c>
      <c r="D37" s="19">
        <v>112617.2</v>
      </c>
      <c r="E37" s="20">
        <f>+D37/D25</f>
        <v>0.33248017660916934</v>
      </c>
      <c r="F37" s="19">
        <v>189202.15125</v>
      </c>
      <c r="G37" s="52">
        <f>+F37/F25</f>
        <v>0.3916476808366029</v>
      </c>
      <c r="H37" s="19">
        <v>28358.000000000004</v>
      </c>
      <c r="I37" s="20">
        <f>+H37/H25</f>
        <v>0.25780000000000003</v>
      </c>
      <c r="J37" s="19">
        <f>+[1]SM2025!Q38*-1</f>
        <v>111021.42000000001</v>
      </c>
      <c r="K37" s="20">
        <f>+J37/J25</f>
        <v>0.29083184887080388</v>
      </c>
      <c r="L37" s="19">
        <f>-'[1]SM2026.'!Q39</f>
        <v>154880.58499999999</v>
      </c>
      <c r="M37" s="20">
        <f>+L37/L25</f>
        <v>0.24175326805853253</v>
      </c>
      <c r="N37" s="19">
        <f>SUM(N29:N36)</f>
        <v>164173.42009999999</v>
      </c>
      <c r="O37" s="20">
        <f>+N37/N25</f>
        <v>0.24175326805853253</v>
      </c>
      <c r="P37" s="19">
        <f>SUM(P29:P36)</f>
        <v>172382.091105</v>
      </c>
      <c r="Q37" s="20">
        <f>+P37/P25</f>
        <v>0.24175326805853251</v>
      </c>
      <c r="R37" s="19">
        <f>SUM(R29:R36)</f>
        <v>179277.37474920001</v>
      </c>
      <c r="S37" s="20">
        <f>+R37/R25</f>
        <v>0.24175326805853253</v>
      </c>
      <c r="T37" s="19">
        <f>SUM(T29:T36)</f>
        <v>186448.46973916801</v>
      </c>
      <c r="U37" s="20">
        <f>+T37/T25</f>
        <v>0.24175326805853251</v>
      </c>
      <c r="V37" s="19">
        <f>SUM(V29:V36)</f>
        <v>193906.40852873473</v>
      </c>
      <c r="W37" s="20">
        <f>+V37/V25</f>
        <v>0.24175326805853251</v>
      </c>
      <c r="X37" s="19">
        <f>SUM(X29:X36)</f>
        <v>201662.66486988415</v>
      </c>
      <c r="Y37" s="20">
        <f>+X37/X25</f>
        <v>0.24175326805853251</v>
      </c>
      <c r="Z37" s="19">
        <f>SUM(Z29:Z36)</f>
        <v>209729.1714646795</v>
      </c>
      <c r="AA37" s="20">
        <f>+Z37/Z25</f>
        <v>0.24175326805853248</v>
      </c>
    </row>
    <row r="38" spans="3:27">
      <c r="C38" s="44" t="s">
        <v>13</v>
      </c>
      <c r="D38" s="19">
        <v>179334.86060000001</v>
      </c>
      <c r="E38" s="20">
        <f>+D38/D25</f>
        <v>0.52945097307044364</v>
      </c>
      <c r="F38" s="19">
        <v>245418.45352000001</v>
      </c>
      <c r="G38" s="52">
        <f>+F38/F25</f>
        <v>0.50801519708203435</v>
      </c>
      <c r="H38" s="19">
        <v>33452.936387875001</v>
      </c>
      <c r="I38" s="20">
        <f>+H38/H25</f>
        <v>0.30411760352613637</v>
      </c>
      <c r="J38" s="19">
        <f>+[1]SM2025!Q39*-1</f>
        <v>249189.11524890002</v>
      </c>
      <c r="K38" s="20">
        <f>+J38/J25</f>
        <v>0.65277611389151224</v>
      </c>
      <c r="L38" s="35">
        <f>-'[1]SM2026.'!Q40</f>
        <v>360583.34626800002</v>
      </c>
      <c r="M38" s="20">
        <f>+L38/L25</f>
        <v>0.56283492451794703</v>
      </c>
      <c r="N38" s="35">
        <f>+L38*1.03</f>
        <v>371400.84665604006</v>
      </c>
      <c r="O38" s="20">
        <f>+N38/N25</f>
        <v>0.54690563420140137</v>
      </c>
      <c r="P38" s="35">
        <f>+N38*1.01</f>
        <v>375114.85512260045</v>
      </c>
      <c r="Q38" s="20">
        <f>+P38/P25</f>
        <v>0.52607113385087168</v>
      </c>
      <c r="R38" s="35">
        <f>+P38*1.01</f>
        <v>378866.00367382646</v>
      </c>
      <c r="S38" s="20">
        <f>+R38/R25</f>
        <v>0.51089600498978882</v>
      </c>
      <c r="T38" s="35">
        <f>+R38*1.01</f>
        <v>382654.66371056472</v>
      </c>
      <c r="U38" s="20">
        <f>+T38/T25</f>
        <v>0.49615862023046797</v>
      </c>
      <c r="V38" s="35">
        <f>+T38*1.01</f>
        <v>386481.21034767036</v>
      </c>
      <c r="W38" s="20">
        <f>+V38/V25</f>
        <v>0.48184635233920448</v>
      </c>
      <c r="X38" s="35">
        <f>+V38*1.01</f>
        <v>390346.02245114709</v>
      </c>
      <c r="Y38" s="20">
        <f>+X38/X25</f>
        <v>0.46794693832941969</v>
      </c>
      <c r="Z38" s="35">
        <f>+X38*1.01</f>
        <v>394249.48267565854</v>
      </c>
      <c r="AA38" s="20">
        <f>+Z38/Z25</f>
        <v>0.45444846895453256</v>
      </c>
    </row>
    <row r="39" spans="3:27">
      <c r="C39" s="44" t="s">
        <v>24</v>
      </c>
      <c r="D39" s="19"/>
      <c r="E39" s="20"/>
      <c r="F39" s="19"/>
      <c r="G39" s="52"/>
      <c r="H39" s="19"/>
      <c r="I39" s="20"/>
      <c r="J39" s="19"/>
      <c r="K39" s="20"/>
      <c r="L39" s="19"/>
      <c r="M39" s="20"/>
      <c r="N39" s="19"/>
      <c r="O39" s="20"/>
      <c r="P39" s="19"/>
      <c r="Q39" s="20"/>
      <c r="R39" s="19"/>
      <c r="S39" s="20"/>
      <c r="T39" s="19"/>
      <c r="U39" s="20"/>
      <c r="V39" s="19"/>
      <c r="W39" s="20"/>
      <c r="X39" s="19"/>
      <c r="Y39" s="20"/>
      <c r="Z39" s="19"/>
      <c r="AA39" s="20"/>
    </row>
    <row r="40" spans="3:27">
      <c r="C40" s="44" t="s">
        <v>14</v>
      </c>
      <c r="D40" s="19">
        <v>20652.310000000001</v>
      </c>
      <c r="E40" s="20">
        <f>+D40/D25</f>
        <v>6.0971891293579619E-2</v>
      </c>
      <c r="F40" s="19">
        <v>50103.040000000001</v>
      </c>
      <c r="G40" s="52">
        <f>+F40/F25</f>
        <v>0.10371308829853249</v>
      </c>
      <c r="H40" s="19">
        <v>2200</v>
      </c>
      <c r="I40" s="20">
        <f>+H40/H25</f>
        <v>0.02</v>
      </c>
      <c r="J40" s="19">
        <f>+[1]SM2025!Q40*-1</f>
        <v>33096.07</v>
      </c>
      <c r="K40" s="20">
        <v>6.7000000000000004E-2</v>
      </c>
      <c r="L40" s="35">
        <f>-'[1]SM2026.'!Q41</f>
        <v>13065</v>
      </c>
      <c r="M40" s="20">
        <f>+L40/L25</f>
        <v>2.0393172244182366E-2</v>
      </c>
      <c r="N40" s="35">
        <f>+L40*1.02</f>
        <v>13326.300000000001</v>
      </c>
      <c r="O40" s="20">
        <f>+N40/N25</f>
        <v>1.9623618574590579E-2</v>
      </c>
      <c r="P40" s="35">
        <f>+N40*1.03</f>
        <v>13726.089000000002</v>
      </c>
      <c r="Q40" s="20">
        <f>+P40/P25</f>
        <v>1.9249835363645995E-2</v>
      </c>
      <c r="R40" s="35">
        <f>+P40*1.03</f>
        <v>14137.871670000002</v>
      </c>
      <c r="S40" s="20">
        <f>+R40/R25</f>
        <v>1.9064740792841709E-2</v>
      </c>
      <c r="T40" s="35">
        <f>+R40*1.03</f>
        <v>14562.007820100003</v>
      </c>
      <c r="U40" s="20">
        <f>+T40/T25</f>
        <v>1.8881425977525922E-2</v>
      </c>
      <c r="V40" s="35">
        <f>+T40*1.03</f>
        <v>14998.868054703004</v>
      </c>
      <c r="W40" s="20">
        <f>+V40/V25</f>
        <v>1.8699873804665097E-2</v>
      </c>
      <c r="X40" s="35">
        <f>+V40*1.03</f>
        <v>15448.834096344093</v>
      </c>
      <c r="Y40" s="20">
        <f>+X40/X25</f>
        <v>1.8520067325774082E-2</v>
      </c>
      <c r="Z40" s="35">
        <f>+X40*1.03</f>
        <v>15912.299119234416</v>
      </c>
      <c r="AA40" s="20">
        <f>+Z40/Z25</f>
        <v>1.8341989755333948E-2</v>
      </c>
    </row>
    <row r="41" spans="3:27">
      <c r="C41" s="49" t="s">
        <v>15</v>
      </c>
      <c r="D41" s="19">
        <v>26114.169400000068</v>
      </c>
      <c r="E41" s="20">
        <f>+D41/D25</f>
        <v>7.7096959026807521E-2</v>
      </c>
      <c r="F41" s="19">
        <v>29508.27477</v>
      </c>
      <c r="G41" s="52">
        <f>+F41/F25</f>
        <v>6.1082008332395965E-2</v>
      </c>
      <c r="H41" s="19">
        <v>45989.063612125006</v>
      </c>
      <c r="I41" s="20">
        <f>+H41/H25</f>
        <v>0.41808239647386369</v>
      </c>
      <c r="J41" s="19">
        <f>+[1]SM2025!Q41</f>
        <v>-11569.115248900009</v>
      </c>
      <c r="K41" s="20">
        <f>+J41/J25</f>
        <v>-3.0306468586305237E-2</v>
      </c>
      <c r="L41" s="19">
        <f>+L25-L37-L38-L40</f>
        <v>112126.66873199999</v>
      </c>
      <c r="M41" s="20">
        <f>+L41/L25</f>
        <v>0.17501863517933816</v>
      </c>
      <c r="N41" s="19">
        <f>+N25-N37-N38-N40</f>
        <v>130194.36924395994</v>
      </c>
      <c r="O41" s="20">
        <f>+N41/N25</f>
        <v>0.19171747916547555</v>
      </c>
      <c r="P41" s="19">
        <f>+P25-P37-P38-P40</f>
        <v>151826.64757239961</v>
      </c>
      <c r="Q41" s="20">
        <f>+P41/P25</f>
        <v>0.21292576272694977</v>
      </c>
      <c r="R41" s="19">
        <f>+R25-R37-R38-R40</f>
        <v>169290.42001897367</v>
      </c>
      <c r="S41" s="20">
        <f>+R41/R25</f>
        <v>0.22828598615883697</v>
      </c>
      <c r="T41" s="19">
        <f>+T25-T37-T38-T40</f>
        <v>187569.39564664749</v>
      </c>
      <c r="U41" s="20">
        <f>+T41/T25</f>
        <v>0.24320668573347368</v>
      </c>
      <c r="V41" s="19">
        <f>+V25-V37-V38-V40</f>
        <v>206697.43146203132</v>
      </c>
      <c r="W41" s="20">
        <f>+V41/V25</f>
        <v>0.25770050579759801</v>
      </c>
      <c r="X41" s="19">
        <f>+X25-X37-X38-X40</f>
        <v>226709.7537114897</v>
      </c>
      <c r="Y41" s="20">
        <f>+X41/X25</f>
        <v>0.27177972628627367</v>
      </c>
      <c r="Z41" s="19">
        <f>+Z25-Z37-Z38-Z40</f>
        <v>247643.01287444719</v>
      </c>
      <c r="AA41" s="20">
        <f>+Z41/Z25</f>
        <v>0.285456273231601</v>
      </c>
    </row>
    <row r="42" spans="3:27">
      <c r="C42" s="44"/>
      <c r="D42" s="22"/>
      <c r="E42" s="18"/>
      <c r="F42" s="22"/>
      <c r="G42" s="1"/>
      <c r="H42" s="22"/>
      <c r="I42" s="18"/>
      <c r="J42" s="22"/>
      <c r="K42" s="18"/>
      <c r="L42" s="22"/>
      <c r="M42" s="18"/>
      <c r="N42" s="22"/>
      <c r="O42" s="18"/>
      <c r="P42" s="22"/>
      <c r="Q42" s="18"/>
      <c r="R42" s="22"/>
      <c r="S42" s="18"/>
      <c r="T42" s="22"/>
      <c r="U42" s="18"/>
      <c r="V42" s="22"/>
      <c r="W42" s="18"/>
      <c r="X42" s="22"/>
      <c r="Y42" s="18"/>
      <c r="Z42" s="22"/>
      <c r="AA42" s="18"/>
    </row>
    <row r="43" spans="3:27">
      <c r="C43" s="51" t="s">
        <v>23</v>
      </c>
      <c r="D43" s="23"/>
      <c r="E43" s="18"/>
      <c r="F43" s="23"/>
      <c r="G43" s="1"/>
      <c r="H43" s="23"/>
      <c r="I43" s="18"/>
      <c r="J43" s="23"/>
      <c r="K43" s="18"/>
      <c r="L43" s="23"/>
      <c r="M43" s="18"/>
      <c r="N43" s="23"/>
      <c r="O43" s="18"/>
      <c r="P43" s="23"/>
      <c r="Q43" s="18"/>
      <c r="R43" s="23"/>
      <c r="S43" s="18"/>
      <c r="T43" s="23"/>
      <c r="U43" s="18"/>
      <c r="V43" s="23"/>
      <c r="W43" s="18"/>
      <c r="X43" s="23"/>
      <c r="Y43" s="18"/>
      <c r="Z43" s="23"/>
      <c r="AA43" s="18"/>
    </row>
    <row r="44" spans="3:27">
      <c r="C44" s="44" t="s">
        <v>12</v>
      </c>
      <c r="D44" s="19">
        <v>0</v>
      </c>
      <c r="E44" s="20"/>
      <c r="F44" s="19">
        <v>2002.7299999999998</v>
      </c>
      <c r="G44" s="52"/>
      <c r="H44" s="19"/>
      <c r="I44" s="20"/>
      <c r="J44" s="19">
        <f>+[1]SM2025!Q44</f>
        <v>198.35</v>
      </c>
      <c r="K44" s="20"/>
      <c r="L44" s="19">
        <f>+'[1]SM2026.'!Q45</f>
        <v>65000</v>
      </c>
      <c r="M44" s="20"/>
      <c r="N44" s="35">
        <f>+L44*1.04</f>
        <v>67600</v>
      </c>
      <c r="O44" s="20"/>
      <c r="P44" s="35">
        <f>+N44*1.04</f>
        <v>70304</v>
      </c>
      <c r="Q44" s="20"/>
      <c r="R44" s="35">
        <f>+P44*1.04</f>
        <v>73116.160000000003</v>
      </c>
      <c r="S44" s="20"/>
      <c r="T44" s="35">
        <f>+R44*1.04</f>
        <v>76040.806400000001</v>
      </c>
      <c r="U44" s="20"/>
      <c r="V44" s="35">
        <f>+T44*1.04</f>
        <v>79082.438655999998</v>
      </c>
      <c r="W44" s="20"/>
      <c r="X44" s="35">
        <f>+V44*1.04</f>
        <v>82245.736202240005</v>
      </c>
      <c r="Y44" s="20"/>
      <c r="Z44" s="35">
        <f>+X44*1.04</f>
        <v>85535.565650329605</v>
      </c>
      <c r="AA44" s="20"/>
    </row>
    <row r="45" spans="3:27">
      <c r="C45" s="44" t="s">
        <v>13</v>
      </c>
      <c r="D45" s="19">
        <v>0</v>
      </c>
      <c r="E45" s="20"/>
      <c r="F45" s="19"/>
      <c r="G45" s="52">
        <f>+F45/F44</f>
        <v>0</v>
      </c>
      <c r="H45" s="19"/>
      <c r="I45" s="20"/>
      <c r="J45" s="19">
        <f>+[1]SM2025!Q45</f>
        <v>0</v>
      </c>
      <c r="K45" s="20">
        <f>+J45/J44</f>
        <v>0</v>
      </c>
      <c r="L45" s="19">
        <f>-'[1]SM2026.'!Q46</f>
        <v>21875</v>
      </c>
      <c r="M45" s="20">
        <f>+L45/L44</f>
        <v>0.33653846153846156</v>
      </c>
      <c r="N45" s="35">
        <f>+L45*1.04</f>
        <v>22750</v>
      </c>
      <c r="O45" s="20">
        <f>+N45/N44</f>
        <v>0.33653846153846156</v>
      </c>
      <c r="P45" s="35">
        <f>+N45*1.04</f>
        <v>23660</v>
      </c>
      <c r="Q45" s="20">
        <f>+P45/P44</f>
        <v>0.33653846153846156</v>
      </c>
      <c r="R45" s="35">
        <f>+P45*1.04</f>
        <v>24606.400000000001</v>
      </c>
      <c r="S45" s="20">
        <f>+R45/R44</f>
        <v>0.33653846153846156</v>
      </c>
      <c r="T45" s="35">
        <f>+R45*1.04</f>
        <v>25590.656000000003</v>
      </c>
      <c r="U45" s="20">
        <f>+T45/T44</f>
        <v>0.33653846153846156</v>
      </c>
      <c r="V45" s="35">
        <f>+T45*1.04</f>
        <v>26614.282240000004</v>
      </c>
      <c r="W45" s="20">
        <f>+V45/V44</f>
        <v>0.33653846153846162</v>
      </c>
      <c r="X45" s="35">
        <f>+V45*1.04</f>
        <v>27678.853529600005</v>
      </c>
      <c r="Y45" s="20">
        <f>+X45/X44</f>
        <v>0.33653846153846156</v>
      </c>
      <c r="Z45" s="35">
        <f>+X45*1.04</f>
        <v>28786.007670784005</v>
      </c>
      <c r="AA45" s="20">
        <f>+Z45/Z44</f>
        <v>0.33653846153846156</v>
      </c>
    </row>
    <row r="46" spans="3:27">
      <c r="C46" s="44" t="s">
        <v>24</v>
      </c>
      <c r="D46" s="19"/>
      <c r="E46" s="20"/>
      <c r="F46" s="19"/>
      <c r="G46" s="52">
        <f>+F46/F44</f>
        <v>0</v>
      </c>
      <c r="H46" s="19"/>
      <c r="I46" s="20"/>
      <c r="J46" s="19">
        <f>+[1]SM2025!Q46</f>
        <v>0</v>
      </c>
      <c r="K46" s="20">
        <v>0.12</v>
      </c>
      <c r="L46" s="19"/>
      <c r="M46" s="20">
        <v>0.12</v>
      </c>
      <c r="N46" s="35">
        <f>+L46*1.04</f>
        <v>0</v>
      </c>
      <c r="O46" s="20"/>
      <c r="P46" s="35">
        <f>+N46*1.04</f>
        <v>0</v>
      </c>
      <c r="Q46" s="20"/>
      <c r="R46" s="35">
        <f>+P46*1.04</f>
        <v>0</v>
      </c>
      <c r="S46" s="20"/>
      <c r="T46" s="35">
        <f>+R46*1.04</f>
        <v>0</v>
      </c>
      <c r="U46" s="20"/>
      <c r="V46" s="35">
        <f>+T46*1.04</f>
        <v>0</v>
      </c>
      <c r="W46" s="20"/>
      <c r="X46" s="35">
        <f>+V46*1.04</f>
        <v>0</v>
      </c>
      <c r="Y46" s="20"/>
      <c r="Z46" s="35">
        <f>+X46*1.04</f>
        <v>0</v>
      </c>
      <c r="AA46" s="20"/>
    </row>
    <row r="47" spans="3:27">
      <c r="C47" s="44" t="s">
        <v>25</v>
      </c>
      <c r="D47" s="19">
        <v>0</v>
      </c>
      <c r="E47" s="20"/>
      <c r="F47" s="19"/>
      <c r="G47" s="52">
        <f>+F47/F44</f>
        <v>0</v>
      </c>
      <c r="H47" s="19"/>
      <c r="I47" s="20"/>
      <c r="J47" s="19">
        <f>+[1]SM2025!Q47</f>
        <v>0</v>
      </c>
      <c r="K47" s="20">
        <f>+J47/J44</f>
        <v>0</v>
      </c>
      <c r="L47" s="19">
        <f>-'[1]SM2026.'!Q48</f>
        <v>2600</v>
      </c>
      <c r="M47" s="20">
        <f>+L47/L44</f>
        <v>0.04</v>
      </c>
      <c r="N47" s="19">
        <f>N44*(L47/L44)</f>
        <v>2704</v>
      </c>
      <c r="O47" s="20">
        <f>+N47/N44</f>
        <v>0.04</v>
      </c>
      <c r="P47" s="19">
        <f>P44*(N47/N44)</f>
        <v>2812.16</v>
      </c>
      <c r="Q47" s="20">
        <f>+P47/P44</f>
        <v>0.04</v>
      </c>
      <c r="R47" s="19">
        <f>R44*(P47/P44)</f>
        <v>2924.6464000000001</v>
      </c>
      <c r="S47" s="20">
        <f>+R47/R44</f>
        <v>0.04</v>
      </c>
      <c r="T47" s="19">
        <f>T44*(R47/R44)</f>
        <v>3041.6322560000003</v>
      </c>
      <c r="U47" s="20">
        <f>+T47/T44</f>
        <v>0.04</v>
      </c>
      <c r="V47" s="19">
        <f>V44*(T47/T44)</f>
        <v>3163.29754624</v>
      </c>
      <c r="W47" s="20">
        <f>+V47/V44</f>
        <v>0.04</v>
      </c>
      <c r="X47" s="19">
        <f>X44*(V47/V44)</f>
        <v>3289.8294480896002</v>
      </c>
      <c r="Y47" s="20">
        <f>+X47/X44</f>
        <v>0.04</v>
      </c>
      <c r="Z47" s="19">
        <f>Z44*(X47/X44)</f>
        <v>3421.4226260131841</v>
      </c>
      <c r="AA47" s="20">
        <f>+Z47/Z44</f>
        <v>0.04</v>
      </c>
    </row>
    <row r="48" spans="3:27">
      <c r="C48" s="44" t="s">
        <v>14</v>
      </c>
      <c r="D48" s="19">
        <v>124</v>
      </c>
      <c r="E48" s="20"/>
      <c r="F48" s="19">
        <v>168</v>
      </c>
      <c r="G48" s="52">
        <f>+F48/F44</f>
        <v>8.3885496297553847E-2</v>
      </c>
      <c r="H48" s="19"/>
      <c r="I48" s="20"/>
      <c r="J48" s="19">
        <f>+[1]SM2025!Q48</f>
        <v>-607.72</v>
      </c>
      <c r="K48" s="20">
        <v>0.15</v>
      </c>
      <c r="L48" s="19">
        <f>-'[1]SM2026.'!Q49</f>
        <v>874.99999999999989</v>
      </c>
      <c r="M48" s="20">
        <f>+L48/L44</f>
        <v>1.3461538461538461E-2</v>
      </c>
      <c r="N48" s="19">
        <f>N44*(L48/L44)</f>
        <v>909.99999999999989</v>
      </c>
      <c r="O48" s="20">
        <f>+N48/N44</f>
        <v>1.3461538461538461E-2</v>
      </c>
      <c r="P48" s="19">
        <f>P44*(N48/N44)</f>
        <v>946.4</v>
      </c>
      <c r="Q48" s="20">
        <f>+P48/P44</f>
        <v>1.3461538461538461E-2</v>
      </c>
      <c r="R48" s="19">
        <f>R44*(P48/P44)</f>
        <v>984.25599999999997</v>
      </c>
      <c r="S48" s="20">
        <f>+R48/R44</f>
        <v>1.3461538461538461E-2</v>
      </c>
      <c r="T48" s="19">
        <f>T44*(R48/R44)</f>
        <v>1023.6262399999999</v>
      </c>
      <c r="U48" s="20">
        <f>+T48/T44</f>
        <v>1.3461538461538461E-2</v>
      </c>
      <c r="V48" s="19">
        <f>V44*(T48/T44)</f>
        <v>1064.5712896</v>
      </c>
      <c r="W48" s="20">
        <f>+V48/V44</f>
        <v>1.3461538461538462E-2</v>
      </c>
      <c r="X48" s="19">
        <f>X44*(V48/V44)</f>
        <v>1107.1541411840001</v>
      </c>
      <c r="Y48" s="20">
        <f>+X48/X44</f>
        <v>1.3461538461538462E-2</v>
      </c>
      <c r="Z48" s="19">
        <f>Z44*(X48/X44)</f>
        <v>1151.4403068313602</v>
      </c>
      <c r="AA48" s="20">
        <f>+Z48/Z44</f>
        <v>1.3461538461538462E-2</v>
      </c>
    </row>
    <row r="49" spans="3:27">
      <c r="C49" s="49" t="s">
        <v>15</v>
      </c>
      <c r="D49" s="19">
        <v>124</v>
      </c>
      <c r="E49" s="20"/>
      <c r="F49" s="19">
        <v>1341.4199999999996</v>
      </c>
      <c r="G49" s="52">
        <f>+F49/F44</f>
        <v>0.66979572883014671</v>
      </c>
      <c r="H49" s="19"/>
      <c r="I49" s="20"/>
      <c r="J49" s="19">
        <f>+[1]SM2025!Q49</f>
        <v>-409.37</v>
      </c>
      <c r="K49" s="20">
        <f>+J49/J44</f>
        <v>-2.0638769851273002</v>
      </c>
      <c r="L49" s="19">
        <f>+L44-L45-L46-L47-L48</f>
        <v>39650</v>
      </c>
      <c r="M49" s="20">
        <f>+L49/L44</f>
        <v>0.61</v>
      </c>
      <c r="N49" s="19">
        <f>+N44-N45-N46-N47-N48</f>
        <v>41236</v>
      </c>
      <c r="O49" s="20">
        <f>+N49/N44</f>
        <v>0.61</v>
      </c>
      <c r="P49" s="19">
        <f>+P44-P45-P46-P47-P48</f>
        <v>42885.439999999995</v>
      </c>
      <c r="Q49" s="20">
        <f>+P49/P44</f>
        <v>0.60999999999999988</v>
      </c>
      <c r="R49" s="19">
        <f>+R44-R45-R46-R47-R48</f>
        <v>44600.857600000003</v>
      </c>
      <c r="S49" s="20">
        <f>+R49/R44</f>
        <v>0.61</v>
      </c>
      <c r="T49" s="19">
        <f>+T44-T45-T46-T47-T48</f>
        <v>46384.891904000004</v>
      </c>
      <c r="U49" s="20">
        <f>+T49/T44</f>
        <v>0.61</v>
      </c>
      <c r="V49" s="19">
        <f>+V44-V45-V46-V47-V48</f>
        <v>48240.287580160002</v>
      </c>
      <c r="W49" s="20">
        <f>+V49/V44</f>
        <v>0.61</v>
      </c>
      <c r="X49" s="19">
        <f>+X44-X45-X46-X47-X48</f>
        <v>50169.899083366399</v>
      </c>
      <c r="Y49" s="20">
        <f>+X49/X44</f>
        <v>0.61</v>
      </c>
      <c r="Z49" s="19">
        <f>+Z44-Z45-Z46-Z47-Z48</f>
        <v>52176.695046701054</v>
      </c>
      <c r="AA49" s="20">
        <f>+Z49/Z44</f>
        <v>0.61</v>
      </c>
    </row>
    <row r="50" spans="3:27">
      <c r="C50" s="44"/>
      <c r="D50" s="15"/>
      <c r="E50" s="18"/>
      <c r="F50" s="15"/>
      <c r="G50" s="1"/>
      <c r="H50" s="15"/>
      <c r="I50" s="18"/>
      <c r="J50" s="15"/>
      <c r="K50" s="18"/>
      <c r="L50" s="15"/>
      <c r="M50" s="18"/>
      <c r="N50" s="15"/>
      <c r="O50" s="18"/>
      <c r="P50" s="15"/>
      <c r="Q50" s="18"/>
      <c r="R50" s="15"/>
      <c r="S50" s="18"/>
      <c r="T50" s="15"/>
      <c r="U50" s="18"/>
      <c r="V50" s="15"/>
      <c r="W50" s="18"/>
      <c r="X50" s="15"/>
      <c r="Y50" s="18"/>
      <c r="Z50" s="15"/>
      <c r="AA50" s="18"/>
    </row>
    <row r="51" spans="3:27">
      <c r="C51" s="51" t="s">
        <v>26</v>
      </c>
      <c r="D51" s="22"/>
      <c r="E51" s="18"/>
      <c r="F51" s="22"/>
      <c r="G51" s="1"/>
      <c r="H51" s="22"/>
      <c r="I51" s="18"/>
      <c r="J51" s="22"/>
      <c r="K51" s="18"/>
      <c r="L51" s="22"/>
      <c r="M51" s="18"/>
      <c r="N51" s="22"/>
      <c r="O51" s="18"/>
      <c r="P51" s="22"/>
      <c r="Q51" s="18"/>
      <c r="R51" s="22"/>
      <c r="S51" s="18"/>
      <c r="T51" s="22"/>
      <c r="U51" s="18"/>
      <c r="V51" s="22"/>
      <c r="W51" s="18"/>
      <c r="X51" s="22"/>
      <c r="Y51" s="18"/>
      <c r="Z51" s="22"/>
      <c r="AA51" s="18"/>
    </row>
    <row r="52" spans="3:27">
      <c r="C52" s="44" t="s">
        <v>12</v>
      </c>
      <c r="D52" s="19">
        <v>0</v>
      </c>
      <c r="E52" s="20"/>
      <c r="F52" s="19">
        <v>270.35000000000002</v>
      </c>
      <c r="G52" s="52"/>
      <c r="H52" s="19"/>
      <c r="I52" s="20"/>
      <c r="J52" s="19">
        <f>+[1]SM2025!Q52</f>
        <v>5708.65</v>
      </c>
      <c r="K52" s="20"/>
      <c r="L52" s="35">
        <f>+'[1]SM2026.'!Q53</f>
        <v>3375</v>
      </c>
      <c r="M52" s="20"/>
      <c r="N52" s="35">
        <f>+L52*1.05</f>
        <v>3543.75</v>
      </c>
      <c r="O52" s="20"/>
      <c r="P52" s="35">
        <f>+N52*1.05</f>
        <v>3720.9375</v>
      </c>
      <c r="Q52" s="20"/>
      <c r="R52" s="35">
        <f>+P52*1.05</f>
        <v>3906.984375</v>
      </c>
      <c r="S52" s="20"/>
      <c r="T52" s="35">
        <f>+R52*1.05</f>
        <v>4102.3335937500005</v>
      </c>
      <c r="U52" s="20"/>
      <c r="V52" s="35">
        <f>+T52*1.05</f>
        <v>4307.450273437501</v>
      </c>
      <c r="W52" s="20"/>
      <c r="X52" s="35">
        <f>+V52*1.05</f>
        <v>4522.8227871093759</v>
      </c>
      <c r="Y52" s="20"/>
      <c r="Z52" s="35">
        <f>+X52*1.05</f>
        <v>4748.9639264648449</v>
      </c>
      <c r="AA52" s="20"/>
    </row>
    <row r="53" spans="3:27">
      <c r="C53" s="44" t="s">
        <v>14</v>
      </c>
      <c r="D53" s="19">
        <v>0</v>
      </c>
      <c r="E53" s="20"/>
      <c r="F53" s="19">
        <v>460.48</v>
      </c>
      <c r="G53" s="52"/>
      <c r="H53" s="19"/>
      <c r="I53" s="20"/>
      <c r="J53" s="19">
        <f>+[1]SM2025!Q53*-1</f>
        <v>4779.68</v>
      </c>
      <c r="K53" s="20">
        <v>0.7</v>
      </c>
      <c r="L53" s="19">
        <f>-'[1]SM2026.'!Q54</f>
        <v>2430</v>
      </c>
      <c r="M53" s="20">
        <f>+L53/L52</f>
        <v>0.72</v>
      </c>
      <c r="N53" s="19">
        <f>N52*(L53/L52)</f>
        <v>2551.5</v>
      </c>
      <c r="O53" s="20">
        <f>+N53/N52</f>
        <v>0.72</v>
      </c>
      <c r="P53" s="19">
        <f>P52*(N53/N52)</f>
        <v>2679.0749999999998</v>
      </c>
      <c r="Q53" s="20">
        <f>+P53/P52</f>
        <v>0.72</v>
      </c>
      <c r="R53" s="19">
        <f>R52*(P53/P52)</f>
        <v>2813.0287499999999</v>
      </c>
      <c r="S53" s="20">
        <f>+R53/R52</f>
        <v>0.72</v>
      </c>
      <c r="T53" s="19">
        <f>T52*(R53/R52)</f>
        <v>2953.6801875000001</v>
      </c>
      <c r="U53" s="20">
        <f>+T53/T52</f>
        <v>0.72</v>
      </c>
      <c r="V53" s="19">
        <f>V52*(T53/T52)</f>
        <v>3101.3641968750007</v>
      </c>
      <c r="W53" s="20">
        <f>+V53/V52</f>
        <v>0.72</v>
      </c>
      <c r="X53" s="19">
        <f>X52*(V53/V52)</f>
        <v>3256.4324067187504</v>
      </c>
      <c r="Y53" s="20">
        <f>+X53/X52</f>
        <v>0.72</v>
      </c>
      <c r="Z53" s="19">
        <f>Z52*(X53/X52)</f>
        <v>3419.2540270546883</v>
      </c>
      <c r="AA53" s="20">
        <f>+Z53/Z52</f>
        <v>0.72</v>
      </c>
    </row>
    <row r="54" spans="3:27">
      <c r="C54" s="49" t="s">
        <v>15</v>
      </c>
      <c r="D54" s="19">
        <v>0</v>
      </c>
      <c r="E54" s="20"/>
      <c r="F54" s="19">
        <v>190.13</v>
      </c>
      <c r="G54" s="52"/>
      <c r="H54" s="19"/>
      <c r="I54" s="20"/>
      <c r="J54" s="19">
        <f>+[1]SM2025!Q54</f>
        <v>928.97</v>
      </c>
      <c r="K54" s="20">
        <f>+J54/J52</f>
        <v>0.16273024270186473</v>
      </c>
      <c r="L54" s="19">
        <f>+L52-L53</f>
        <v>945</v>
      </c>
      <c r="M54" s="20">
        <f>+L54/L52</f>
        <v>0.28000000000000003</v>
      </c>
      <c r="N54" s="19">
        <f>+N52-N53</f>
        <v>992.25</v>
      </c>
      <c r="O54" s="20">
        <f>+N54/N52</f>
        <v>0.28000000000000003</v>
      </c>
      <c r="P54" s="19">
        <f>+P52-P53</f>
        <v>1041.8625000000002</v>
      </c>
      <c r="Q54" s="20">
        <f>+P54/P52</f>
        <v>0.28000000000000003</v>
      </c>
      <c r="R54" s="19">
        <f>+R52-R53</f>
        <v>1093.9556250000001</v>
      </c>
      <c r="S54" s="20">
        <f>+R54/R52</f>
        <v>0.28000000000000003</v>
      </c>
      <c r="T54" s="19">
        <f>+T52-T53</f>
        <v>1148.6534062500004</v>
      </c>
      <c r="U54" s="20">
        <f>+T54/T52</f>
        <v>0.28000000000000008</v>
      </c>
      <c r="V54" s="19">
        <f>+V52-V53</f>
        <v>1206.0860765625002</v>
      </c>
      <c r="W54" s="20">
        <f>+V54/V52</f>
        <v>0.27999999999999997</v>
      </c>
      <c r="X54" s="19">
        <f>+X52-X53</f>
        <v>1266.3903803906255</v>
      </c>
      <c r="Y54" s="20">
        <f>+X54/X52</f>
        <v>0.28000000000000008</v>
      </c>
      <c r="Z54" s="19">
        <f>+Z52-Z53</f>
        <v>1329.7098994101566</v>
      </c>
      <c r="AA54" s="20">
        <f>+Z54/Z52</f>
        <v>0.28000000000000003</v>
      </c>
    </row>
    <row r="55" spans="3:27">
      <c r="C55" s="44"/>
      <c r="D55" s="15"/>
      <c r="E55" s="24"/>
      <c r="F55" s="15"/>
      <c r="G55" s="2"/>
      <c r="H55" s="15"/>
      <c r="I55" s="24"/>
      <c r="J55" s="15"/>
      <c r="K55" s="24"/>
      <c r="L55" s="15"/>
      <c r="M55" s="24"/>
      <c r="N55" s="15"/>
      <c r="O55" s="24"/>
      <c r="P55" s="15"/>
      <c r="Q55" s="24"/>
      <c r="R55" s="15"/>
      <c r="S55" s="24"/>
      <c r="T55" s="15"/>
      <c r="U55" s="24"/>
      <c r="V55" s="15"/>
      <c r="W55" s="24"/>
      <c r="X55" s="15"/>
      <c r="Y55" s="24"/>
      <c r="Z55" s="15"/>
      <c r="AA55" s="24"/>
    </row>
    <row r="56" spans="3:27">
      <c r="C56" s="51" t="s">
        <v>27</v>
      </c>
      <c r="D56" s="22"/>
      <c r="E56" s="18"/>
      <c r="F56" s="22"/>
      <c r="G56" s="1"/>
      <c r="H56" s="22"/>
      <c r="I56" s="18"/>
      <c r="J56" s="22"/>
      <c r="K56" s="18"/>
      <c r="L56" s="22"/>
      <c r="M56" s="18"/>
      <c r="N56" s="22"/>
      <c r="O56" s="18"/>
      <c r="P56" s="22"/>
      <c r="Q56" s="18"/>
      <c r="R56" s="22"/>
      <c r="S56" s="18"/>
      <c r="T56" s="22"/>
      <c r="U56" s="18"/>
      <c r="V56" s="22"/>
      <c r="W56" s="18"/>
      <c r="X56" s="22"/>
      <c r="Y56" s="18"/>
      <c r="Z56" s="22"/>
      <c r="AA56" s="18"/>
    </row>
    <row r="57" spans="3:27">
      <c r="C57" s="44" t="s">
        <v>12</v>
      </c>
      <c r="D57" s="19">
        <v>1551.81</v>
      </c>
      <c r="E57" s="20"/>
      <c r="F57" s="19">
        <v>6645.62</v>
      </c>
      <c r="G57" s="52"/>
      <c r="H57" s="19"/>
      <c r="I57" s="20"/>
      <c r="J57" s="19">
        <f>+[1]SM2025!Q57</f>
        <v>20997.279999999999</v>
      </c>
      <c r="K57" s="20"/>
      <c r="L57" s="35">
        <f>+'[1]SM2026.'!Q58</f>
        <v>33381</v>
      </c>
      <c r="M57" s="20"/>
      <c r="N57" s="35">
        <f>+L57*1.05</f>
        <v>35050.050000000003</v>
      </c>
      <c r="O57" s="20"/>
      <c r="P57" s="35">
        <f>+N57*1.05</f>
        <v>36802.552500000005</v>
      </c>
      <c r="Q57" s="20"/>
      <c r="R57" s="35">
        <f>+P57*1.05</f>
        <v>38642.680125000006</v>
      </c>
      <c r="S57" s="20"/>
      <c r="T57" s="35">
        <f>+R57*1.05</f>
        <v>40574.814131250008</v>
      </c>
      <c r="U57" s="20"/>
      <c r="V57" s="35">
        <f>+T57*1.05</f>
        <v>42603.55483781251</v>
      </c>
      <c r="W57" s="20"/>
      <c r="X57" s="35">
        <f>+V57*1.05</f>
        <v>44733.732579703137</v>
      </c>
      <c r="Y57" s="20"/>
      <c r="Z57" s="35">
        <f>+X57*1.05</f>
        <v>46970.419208688298</v>
      </c>
      <c r="AA57" s="20"/>
    </row>
    <row r="58" spans="3:27">
      <c r="C58" s="44" t="s">
        <v>14</v>
      </c>
      <c r="D58" s="19">
        <v>1173</v>
      </c>
      <c r="E58" s="20">
        <f>+D58/D57</f>
        <v>0.75589150733659405</v>
      </c>
      <c r="F58" s="19">
        <v>3888.43</v>
      </c>
      <c r="G58" s="52"/>
      <c r="H58" s="19"/>
      <c r="I58" s="20"/>
      <c r="J58" s="19">
        <f>+[1]SM2025!Q58*-1</f>
        <v>10478.780000000001</v>
      </c>
      <c r="K58" s="20">
        <v>0.7</v>
      </c>
      <c r="L58" s="19">
        <f>-'[1]SM2026.'!Q59</f>
        <v>16690.5</v>
      </c>
      <c r="M58" s="20">
        <f>+L58/L57</f>
        <v>0.5</v>
      </c>
      <c r="N58" s="19">
        <f>N57*(L58/L57)</f>
        <v>17525.025000000001</v>
      </c>
      <c r="O58" s="20">
        <f>+N58/N57</f>
        <v>0.5</v>
      </c>
      <c r="P58" s="19">
        <f>P57*(N58/N57)</f>
        <v>18401.276250000003</v>
      </c>
      <c r="Q58" s="20">
        <f>+P58/P57</f>
        <v>0.5</v>
      </c>
      <c r="R58" s="19">
        <f>R57*(P58/P57)</f>
        <v>19321.340062500003</v>
      </c>
      <c r="S58" s="20">
        <f>+R58/R57</f>
        <v>0.5</v>
      </c>
      <c r="T58" s="19">
        <f>T57*(R58/R57)</f>
        <v>20287.407065625004</v>
      </c>
      <c r="U58" s="20">
        <f>+T58/T57</f>
        <v>0.5</v>
      </c>
      <c r="V58" s="19">
        <f>V57*(T58/T57)</f>
        <v>21301.777418906255</v>
      </c>
      <c r="W58" s="20">
        <f>+V58/V57</f>
        <v>0.5</v>
      </c>
      <c r="X58" s="19">
        <f>X57*(V58/V57)</f>
        <v>22366.866289851569</v>
      </c>
      <c r="Y58" s="20">
        <f>+X58/X57</f>
        <v>0.5</v>
      </c>
      <c r="Z58" s="19">
        <f>Z57*(X58/X57)</f>
        <v>23485.209604344149</v>
      </c>
      <c r="AA58" s="20">
        <f>+Z58/Z57</f>
        <v>0.5</v>
      </c>
    </row>
    <row r="59" spans="3:27">
      <c r="C59" s="49" t="s">
        <v>15</v>
      </c>
      <c r="D59" s="19">
        <v>378.80999999999995</v>
      </c>
      <c r="E59" s="20">
        <f>+D59/D57</f>
        <v>0.24410849266340592</v>
      </c>
      <c r="F59" s="19">
        <v>2757.19</v>
      </c>
      <c r="G59" s="52"/>
      <c r="H59" s="19"/>
      <c r="I59" s="20"/>
      <c r="J59" s="19">
        <f>+[1]SM2025!Q59</f>
        <v>10518.5</v>
      </c>
      <c r="K59" s="20">
        <f>+J59/J57</f>
        <v>0.5009458367940991</v>
      </c>
      <c r="L59" s="19">
        <f>+L57-L58</f>
        <v>16690.5</v>
      </c>
      <c r="M59" s="20">
        <f>+L59/L57</f>
        <v>0.5</v>
      </c>
      <c r="N59" s="19">
        <f>+N57-N58</f>
        <v>17525.025000000001</v>
      </c>
      <c r="O59" s="20">
        <f>+N59/N57</f>
        <v>0.5</v>
      </c>
      <c r="P59" s="19">
        <f>+P57-P58</f>
        <v>18401.276250000003</v>
      </c>
      <c r="Q59" s="20">
        <f>+P59/P57</f>
        <v>0.5</v>
      </c>
      <c r="R59" s="19">
        <f>+R57-R58</f>
        <v>19321.340062500003</v>
      </c>
      <c r="S59" s="20">
        <f>+R59/R57</f>
        <v>0.5</v>
      </c>
      <c r="T59" s="19">
        <f>+T57-T58</f>
        <v>20287.407065625004</v>
      </c>
      <c r="U59" s="20">
        <f>+T59/T57</f>
        <v>0.5</v>
      </c>
      <c r="V59" s="19">
        <f>+V57-V58</f>
        <v>21301.777418906255</v>
      </c>
      <c r="W59" s="20">
        <f>+V59/V57</f>
        <v>0.5</v>
      </c>
      <c r="X59" s="19">
        <f>+X57-X58</f>
        <v>22366.866289851569</v>
      </c>
      <c r="Y59" s="20">
        <f>+X59/X57</f>
        <v>0.5</v>
      </c>
      <c r="Z59" s="19">
        <f>+Z57-Z58</f>
        <v>23485.209604344149</v>
      </c>
      <c r="AA59" s="20">
        <f>+Z59/Z57</f>
        <v>0.5</v>
      </c>
    </row>
    <row r="60" spans="3:27">
      <c r="C60" s="44"/>
      <c r="D60" s="25"/>
      <c r="E60" s="26"/>
      <c r="F60" s="25"/>
      <c r="G60" s="5"/>
      <c r="H60" s="25"/>
      <c r="I60" s="26"/>
      <c r="J60" s="25"/>
      <c r="K60" s="26"/>
      <c r="L60" s="25"/>
      <c r="M60" s="26"/>
      <c r="N60" s="25"/>
      <c r="O60" s="26"/>
      <c r="P60" s="25"/>
      <c r="Q60" s="26"/>
      <c r="R60" s="25"/>
      <c r="S60" s="26"/>
      <c r="T60" s="25"/>
      <c r="U60" s="26"/>
      <c r="V60" s="25"/>
      <c r="W60" s="26"/>
      <c r="X60" s="25"/>
      <c r="Y60" s="26"/>
      <c r="Z60" s="25"/>
      <c r="AA60" s="26"/>
    </row>
    <row r="61" spans="3:27">
      <c r="C61" s="56" t="s">
        <v>28</v>
      </c>
      <c r="D61" s="19">
        <v>377504.23220000009</v>
      </c>
      <c r="E61" s="20">
        <f>+D61/D14</f>
        <v>0.38247060923622633</v>
      </c>
      <c r="F61" s="19">
        <v>479513.85013422155</v>
      </c>
      <c r="G61" s="52">
        <f>+F61/F14</f>
        <v>0.36965685612927562</v>
      </c>
      <c r="H61" s="19">
        <v>330333.35647712502</v>
      </c>
      <c r="I61" s="20">
        <f>+H61/H14</f>
        <v>0.72170884725508511</v>
      </c>
      <c r="J61" s="19">
        <f>+[1]SM2025!Q61</f>
        <v>254370.69267830002</v>
      </c>
      <c r="K61" s="20">
        <v>0.495995605498598</v>
      </c>
      <c r="L61" s="19">
        <f>+L59+L54+L49+L41+L22</f>
        <v>1042187.9154046944</v>
      </c>
      <c r="M61" s="20">
        <v>0.495995605498598</v>
      </c>
      <c r="N61" s="19">
        <f>+N59+N54+N49+N41+N22</f>
        <v>1138479.8200719601</v>
      </c>
      <c r="O61" s="20">
        <v>0.495995605498598</v>
      </c>
      <c r="P61" s="19">
        <f>+P59+P54+P49+P41+P22</f>
        <v>1247225.7554881626</v>
      </c>
      <c r="Q61" s="20">
        <v>0.495995605498598</v>
      </c>
      <c r="R61" s="19">
        <f>+R59+R54+R49+R41+R22</f>
        <v>1330102.9052903121</v>
      </c>
      <c r="S61" s="20">
        <v>0.495995605498598</v>
      </c>
      <c r="T61" s="19">
        <f>+T59+T54+T49+T41+T22</f>
        <v>1402486.4637571261</v>
      </c>
      <c r="U61" s="20">
        <v>0.495995605498598</v>
      </c>
      <c r="V61" s="19">
        <f>+V59+V54+V49+V41+V22</f>
        <v>1477136.7158306434</v>
      </c>
      <c r="W61" s="20">
        <v>0.495995605498598</v>
      </c>
      <c r="X61" s="19">
        <f>+X59+X54+X49+X41+X22</f>
        <v>1539617.4749506591</v>
      </c>
      <c r="Y61" s="20">
        <v>0.495995605498598</v>
      </c>
      <c r="Z61" s="19">
        <f>+Z59+Z54+Z49+Z41+Z22</f>
        <v>1613303.3755298855</v>
      </c>
      <c r="AA61" s="20">
        <v>0.495995605498598</v>
      </c>
    </row>
    <row r="62" spans="3:27">
      <c r="C62" s="51"/>
      <c r="D62" s="15"/>
      <c r="E62" s="18"/>
      <c r="F62" s="15"/>
      <c r="G62" s="1"/>
      <c r="H62" s="15"/>
      <c r="I62" s="18"/>
      <c r="J62" s="15"/>
      <c r="K62" s="18"/>
      <c r="L62" s="15"/>
      <c r="M62" s="18"/>
      <c r="N62" s="15"/>
      <c r="O62" s="18"/>
      <c r="P62" s="15"/>
      <c r="Q62" s="18"/>
      <c r="R62" s="15"/>
      <c r="S62" s="18"/>
      <c r="T62" s="15"/>
      <c r="U62" s="18"/>
      <c r="V62" s="15"/>
      <c r="W62" s="18"/>
      <c r="X62" s="15"/>
      <c r="Y62" s="18"/>
      <c r="Z62" s="15"/>
      <c r="AA62" s="18"/>
    </row>
    <row r="63" spans="3:27">
      <c r="C63" s="44" t="s">
        <v>29</v>
      </c>
      <c r="D63" s="15"/>
      <c r="E63" s="18"/>
      <c r="F63" s="15"/>
      <c r="G63" s="1"/>
      <c r="H63" s="15"/>
      <c r="I63" s="18"/>
      <c r="J63" s="15"/>
      <c r="K63" s="18"/>
      <c r="L63" s="15"/>
      <c r="M63" s="18"/>
      <c r="N63" s="15"/>
      <c r="O63" s="18"/>
      <c r="P63" s="15"/>
      <c r="Q63" s="18"/>
      <c r="R63" s="15"/>
      <c r="S63" s="18"/>
      <c r="T63" s="15"/>
      <c r="U63" s="18"/>
      <c r="V63" s="15"/>
      <c r="W63" s="18"/>
      <c r="X63" s="15"/>
      <c r="Y63" s="18"/>
      <c r="Z63" s="15"/>
      <c r="AA63" s="18"/>
    </row>
    <row r="64" spans="3:27">
      <c r="C64" s="44" t="s">
        <v>30</v>
      </c>
      <c r="D64" s="19">
        <v>484.75</v>
      </c>
      <c r="E64" s="20">
        <f>+D64/D14</f>
        <v>4.9112728285662034E-4</v>
      </c>
      <c r="F64" s="19">
        <v>77494.913333333301</v>
      </c>
      <c r="G64" s="52">
        <f>+F64/F14</f>
        <v>5.9740768740657181E-2</v>
      </c>
      <c r="H64" s="19">
        <v>29420.459678333333</v>
      </c>
      <c r="I64" s="20">
        <f>+H64/H14</f>
        <v>6.4277511258948539E-2</v>
      </c>
      <c r="J64" s="19">
        <f>+[1]SM2025!Q64*-1</f>
        <v>176794.78635999997</v>
      </c>
      <c r="K64" s="20">
        <f>+J64/J14</f>
        <v>0.17029213355827968</v>
      </c>
      <c r="L64" s="35">
        <f>-'[1]SM2026.'!Q65</f>
        <v>116062.25624000002</v>
      </c>
      <c r="M64" s="20">
        <f>+L64/L14</f>
        <v>5.3394322443544633E-2</v>
      </c>
      <c r="N64" s="35">
        <f>+L64*1.02</f>
        <v>118383.50136480002</v>
      </c>
      <c r="O64" s="20">
        <f>+N64/N14</f>
        <v>5.1391097262336323E-2</v>
      </c>
      <c r="P64" s="35">
        <f>+N64*1.02</f>
        <v>120751.17139209602</v>
      </c>
      <c r="Q64" s="20">
        <f>+P64/P14</f>
        <v>4.9280746915004767E-2</v>
      </c>
      <c r="R64" s="35">
        <f>+P64*1.02</f>
        <v>123166.19481993794</v>
      </c>
      <c r="S64" s="20">
        <f>+R64/R14</f>
        <v>4.8006756066631753E-2</v>
      </c>
      <c r="T64" s="35">
        <f>+R64*1.02</f>
        <v>125629.51871633671</v>
      </c>
      <c r="U64" s="20">
        <f>+T64/T14</f>
        <v>4.7076042095365513E-2</v>
      </c>
      <c r="V64" s="35">
        <f>+T64*1.02</f>
        <v>128142.10909066345</v>
      </c>
      <c r="W64" s="20">
        <f>+V64/V14</f>
        <v>4.6163302423197924E-2</v>
      </c>
      <c r="X64" s="35">
        <f>+V64*1.02</f>
        <v>130704.95127247673</v>
      </c>
      <c r="Y64" s="20">
        <f>+X64/X14</f>
        <v>4.5559751677256302E-2</v>
      </c>
      <c r="Z64" s="35">
        <f>+X64*1.02</f>
        <v>133319.05029792627</v>
      </c>
      <c r="AA64" s="20">
        <f>+Z64/Z14</f>
        <v>4.4676227021141296E-2</v>
      </c>
    </row>
    <row r="65" spans="3:27">
      <c r="C65" s="44" t="s">
        <v>14</v>
      </c>
      <c r="D65" s="19">
        <v>13406.16</v>
      </c>
      <c r="E65" s="20">
        <f>+D65/D14</f>
        <v>1.3582529003282329E-2</v>
      </c>
      <c r="F65" s="19">
        <v>15189.41</v>
      </c>
      <c r="G65" s="52">
        <f>+F65/F14</f>
        <v>1.170950441887531E-2</v>
      </c>
      <c r="H65" s="19">
        <v>2746.26</v>
      </c>
      <c r="I65" s="20">
        <f>+H65/H14</f>
        <v>6.0000000000000001E-3</v>
      </c>
      <c r="J65" s="19">
        <f>+[1]SM2025!Q65*-1</f>
        <v>38686.27350000001</v>
      </c>
      <c r="K65" s="20">
        <f>+J65/J14</f>
        <v>3.7263361603431723E-2</v>
      </c>
      <c r="L65" s="19">
        <f>-'[1]SM2026.'!Q66</f>
        <v>53172.72</v>
      </c>
      <c r="M65" s="20">
        <f>+L65/L14</f>
        <v>2.4462055528279764E-2</v>
      </c>
      <c r="N65" s="19">
        <f>N64*(L65/L64)</f>
        <v>54236.174400000004</v>
      </c>
      <c r="O65" s="20">
        <f>+N65/N14</f>
        <v>2.354429866995127E-2</v>
      </c>
      <c r="P65" s="19">
        <f>P64*(N65/N64)</f>
        <v>55320.897888000007</v>
      </c>
      <c r="Q65" s="20">
        <f>+P65/P14</f>
        <v>2.2577463526849081E-2</v>
      </c>
      <c r="R65" s="19">
        <f>R64*(P65/P64)</f>
        <v>56427.315845760008</v>
      </c>
      <c r="S65" s="20">
        <f>+R65/R14</f>
        <v>2.1993797821410605E-2</v>
      </c>
      <c r="T65" s="19">
        <f>T64*(R65/R64)</f>
        <v>57555.862162675206</v>
      </c>
      <c r="U65" s="20">
        <f>+T65/T14</f>
        <v>2.1567400860008332E-2</v>
      </c>
      <c r="V65" s="19">
        <f>V64*(T65/T64)</f>
        <v>58706.979405928716</v>
      </c>
      <c r="W65" s="20">
        <f>+V65/V14</f>
        <v>2.1149238637479244E-2</v>
      </c>
      <c r="X65" s="19">
        <f>X64*(V65/V64)</f>
        <v>59881.118994047298</v>
      </c>
      <c r="Y65" s="20">
        <f>+X65/X14</f>
        <v>2.0872728117527072E-2</v>
      </c>
      <c r="Z65" s="19">
        <f>Z64*(X65/X64)</f>
        <v>61078.741373928242</v>
      </c>
      <c r="AA65" s="20">
        <f>+Z65/Z14</f>
        <v>2.0467950451861557E-2</v>
      </c>
    </row>
    <row r="66" spans="3:27">
      <c r="C66" s="3" t="s">
        <v>31</v>
      </c>
      <c r="D66" s="19">
        <v>13890.91</v>
      </c>
      <c r="E66" s="20">
        <f>+D66/D14</f>
        <v>1.407365628613895E-2</v>
      </c>
      <c r="F66" s="19">
        <v>92684.323333333305</v>
      </c>
      <c r="G66" s="52">
        <f>+F66/F14</f>
        <v>7.1450273159532493E-2</v>
      </c>
      <c r="H66" s="19">
        <v>32166.719678333335</v>
      </c>
      <c r="I66" s="20">
        <f>+H66/H14</f>
        <v>7.027751125894853E-2</v>
      </c>
      <c r="J66" s="19">
        <f>+[1]SM2025!Q66*-1</f>
        <v>215481.05986000001</v>
      </c>
      <c r="K66" s="20">
        <f>+J66/J14</f>
        <v>0.20755549516171143</v>
      </c>
      <c r="L66" s="19">
        <f>+L64+L65</f>
        <v>169234.97624000002</v>
      </c>
      <c r="M66" s="20">
        <f>+L66/L14</f>
        <v>7.7856377971824403E-2</v>
      </c>
      <c r="N66" s="19">
        <f>+N64+N65</f>
        <v>172619.67576480002</v>
      </c>
      <c r="O66" s="20">
        <f>+N66/N14</f>
        <v>7.4935395932287596E-2</v>
      </c>
      <c r="P66" s="19">
        <f>+P64+P65</f>
        <v>176072.06928009604</v>
      </c>
      <c r="Q66" s="20">
        <f>+P66/P14</f>
        <v>7.1858210441853851E-2</v>
      </c>
      <c r="R66" s="19">
        <f>+R64+R65</f>
        <v>179593.51066569795</v>
      </c>
      <c r="S66" s="20">
        <f>+R66/R14</f>
        <v>7.0000553888042369E-2</v>
      </c>
      <c r="T66" s="19">
        <f>+T64+T65</f>
        <v>183185.38087901191</v>
      </c>
      <c r="U66" s="20">
        <f>+T66/T14</f>
        <v>6.8643442955373835E-2</v>
      </c>
      <c r="V66" s="19">
        <f>+V64+V65</f>
        <v>186849.08849659216</v>
      </c>
      <c r="W66" s="20">
        <f>+V66/V14</f>
        <v>6.7312541060677175E-2</v>
      </c>
      <c r="X66" s="19">
        <f>+X64+X65</f>
        <v>190586.07026652404</v>
      </c>
      <c r="Y66" s="20">
        <f>+X66/X14</f>
        <v>6.6432479794783381E-2</v>
      </c>
      <c r="Z66" s="19">
        <f>+Z64+Z65</f>
        <v>194397.7916718545</v>
      </c>
      <c r="AA66" s="20">
        <f>+Z66/Z14</f>
        <v>6.5144177473002843E-2</v>
      </c>
    </row>
    <row r="67" spans="3:27">
      <c r="C67" s="44"/>
      <c r="D67" s="15"/>
      <c r="E67" s="18"/>
      <c r="F67" s="15"/>
      <c r="G67" s="1"/>
      <c r="H67" s="15"/>
      <c r="I67" s="18"/>
      <c r="J67" s="15"/>
      <c r="K67" s="18"/>
      <c r="L67" s="15"/>
      <c r="M67" s="18"/>
      <c r="N67" s="15"/>
      <c r="O67" s="18"/>
      <c r="P67" s="15"/>
      <c r="Q67" s="18"/>
      <c r="R67" s="15"/>
      <c r="S67" s="18"/>
      <c r="T67" s="15"/>
      <c r="U67" s="18"/>
      <c r="V67" s="15"/>
      <c r="W67" s="18"/>
      <c r="X67" s="15"/>
      <c r="Y67" s="18"/>
      <c r="Z67" s="15"/>
      <c r="AA67" s="18"/>
    </row>
    <row r="68" spans="3:27">
      <c r="C68" s="44" t="s">
        <v>32</v>
      </c>
      <c r="D68" s="15"/>
      <c r="E68" s="18"/>
      <c r="F68" s="15"/>
      <c r="G68" s="1"/>
      <c r="H68" s="15"/>
      <c r="I68" s="18"/>
      <c r="J68" s="15"/>
      <c r="K68" s="18"/>
      <c r="L68" s="15"/>
      <c r="M68" s="18"/>
      <c r="N68" s="15"/>
      <c r="O68" s="18"/>
      <c r="P68" s="15"/>
      <c r="Q68" s="18"/>
      <c r="R68" s="15"/>
      <c r="S68" s="18"/>
      <c r="T68" s="15"/>
      <c r="U68" s="18"/>
      <c r="V68" s="15"/>
      <c r="W68" s="18"/>
      <c r="X68" s="15"/>
      <c r="Y68" s="18"/>
      <c r="Z68" s="15"/>
      <c r="AA68" s="18"/>
    </row>
    <row r="69" spans="3:27">
      <c r="C69" s="57" t="s">
        <v>33</v>
      </c>
      <c r="D69" s="15"/>
      <c r="E69" s="18"/>
      <c r="F69" s="15"/>
      <c r="G69" s="1"/>
      <c r="H69" s="15"/>
      <c r="I69" s="18"/>
      <c r="J69" s="15"/>
      <c r="K69" s="18"/>
      <c r="L69" s="15"/>
      <c r="M69" s="18"/>
      <c r="N69" s="15"/>
      <c r="O69" s="18"/>
      <c r="P69" s="15"/>
      <c r="Q69" s="18"/>
      <c r="R69" s="15"/>
      <c r="S69" s="18"/>
      <c r="T69" s="15"/>
      <c r="U69" s="18"/>
      <c r="V69" s="15"/>
      <c r="W69" s="18"/>
      <c r="X69" s="15"/>
      <c r="Y69" s="18"/>
      <c r="Z69" s="15"/>
      <c r="AA69" s="18"/>
    </row>
    <row r="70" spans="3:27">
      <c r="C70" s="3" t="s">
        <v>33</v>
      </c>
      <c r="D70" s="19">
        <v>9380.33</v>
      </c>
      <c r="E70" s="20">
        <f>+D70/$D$14</f>
        <v>9.5037359158296874E-3</v>
      </c>
      <c r="F70" s="19">
        <v>8931.3121438064009</v>
      </c>
      <c r="G70" s="52">
        <f>+F70/$F$14</f>
        <v>6.885141622634176E-3</v>
      </c>
      <c r="H70" s="19">
        <v>1373.13</v>
      </c>
      <c r="I70" s="20">
        <f>+H70/H14</f>
        <v>3.0000000000000001E-3</v>
      </c>
      <c r="J70" s="19">
        <f>+[1]SM2025!Q69*-1</f>
        <v>18453.52</v>
      </c>
      <c r="K70" s="20">
        <f>+J70/J14</f>
        <v>1.7774784863064136E-2</v>
      </c>
      <c r="L70" s="35">
        <f>-'[1]SM2026.'!Q70</f>
        <v>16506</v>
      </c>
      <c r="M70" s="20">
        <f>+L70/L14</f>
        <v>7.5935684416705736E-3</v>
      </c>
      <c r="N70" s="35">
        <f>+L70*1.03</f>
        <v>17001.18</v>
      </c>
      <c r="O70" s="20">
        <f>+N70/N14</f>
        <v>7.3803299013951492E-3</v>
      </c>
      <c r="P70" s="35">
        <f>+N70*1.03</f>
        <v>17511.215400000001</v>
      </c>
      <c r="Q70" s="20">
        <f>+P70/P14</f>
        <v>7.1466451575808139E-3</v>
      </c>
      <c r="R70" s="35">
        <f>+P70*1.03</f>
        <v>18036.551862</v>
      </c>
      <c r="S70" s="20">
        <f>+R70/R14</f>
        <v>7.0301461110173075E-3</v>
      </c>
      <c r="T70" s="35">
        <f>+R70*1.03</f>
        <v>18577.64841786</v>
      </c>
      <c r="U70" s="20">
        <f>+T70/T14</f>
        <v>6.9614384253654776E-3</v>
      </c>
      <c r="V70" s="35">
        <f>+T70*1.03</f>
        <v>19134.9778703958</v>
      </c>
      <c r="W70" s="20">
        <f>+V70/V14</f>
        <v>6.893391848789553E-3</v>
      </c>
      <c r="X70" s="35">
        <f>+V70*1.03</f>
        <v>19709.027206507675</v>
      </c>
      <c r="Y70" s="20">
        <f>+X70/X14</f>
        <v>6.8699645773699324E-3</v>
      </c>
      <c r="Z70" s="35">
        <f>+X70*1.03</f>
        <v>20300.298022702907</v>
      </c>
      <c r="AA70" s="20">
        <f>+Z70/Z14</f>
        <v>6.8027841559955065E-3</v>
      </c>
    </row>
    <row r="71" spans="3:27">
      <c r="C71" s="44"/>
      <c r="D71" s="15"/>
      <c r="E71" s="18"/>
      <c r="F71" s="15"/>
      <c r="G71" s="1"/>
      <c r="H71" s="15"/>
      <c r="I71" s="18"/>
      <c r="J71" s="15"/>
      <c r="K71" s="18"/>
      <c r="L71" s="15"/>
      <c r="M71" s="18"/>
      <c r="N71" s="15"/>
      <c r="O71" s="18"/>
      <c r="P71" s="15"/>
      <c r="Q71" s="18"/>
      <c r="R71" s="15"/>
      <c r="S71" s="18"/>
      <c r="T71" s="15"/>
      <c r="U71" s="18"/>
      <c r="V71" s="15"/>
      <c r="W71" s="18"/>
      <c r="X71" s="15"/>
      <c r="Y71" s="18"/>
      <c r="Z71" s="15"/>
      <c r="AA71" s="18"/>
    </row>
    <row r="72" spans="3:27">
      <c r="C72" s="44" t="s">
        <v>34</v>
      </c>
      <c r="D72" s="15"/>
      <c r="E72" s="18"/>
      <c r="F72" s="15"/>
      <c r="G72" s="1"/>
      <c r="H72" s="15"/>
      <c r="I72" s="18"/>
      <c r="J72" s="15"/>
      <c r="K72" s="18"/>
      <c r="L72" s="15"/>
      <c r="M72" s="18"/>
      <c r="N72" s="15"/>
      <c r="O72" s="18"/>
      <c r="P72" s="15"/>
      <c r="Q72" s="18"/>
      <c r="R72" s="15"/>
      <c r="S72" s="18"/>
      <c r="T72" s="15"/>
      <c r="U72" s="18"/>
      <c r="V72" s="15"/>
      <c r="W72" s="18"/>
      <c r="X72" s="15"/>
      <c r="Y72" s="18"/>
      <c r="Z72" s="15"/>
      <c r="AA72" s="18"/>
    </row>
    <row r="73" spans="3:27">
      <c r="C73" s="44"/>
      <c r="D73" s="15"/>
      <c r="E73" s="18"/>
      <c r="F73" s="15"/>
      <c r="G73" s="1"/>
      <c r="H73" s="15"/>
      <c r="I73" s="18"/>
      <c r="J73" s="15"/>
      <c r="K73" s="18"/>
      <c r="L73" s="15"/>
      <c r="M73" s="18"/>
      <c r="N73" s="15"/>
      <c r="O73" s="18"/>
      <c r="P73" s="15"/>
      <c r="Q73" s="18"/>
      <c r="R73" s="15"/>
      <c r="S73" s="18"/>
      <c r="T73" s="15"/>
      <c r="U73" s="18"/>
      <c r="V73" s="15"/>
      <c r="W73" s="18"/>
      <c r="X73" s="15"/>
      <c r="Y73" s="18"/>
      <c r="Z73" s="15"/>
      <c r="AA73" s="18"/>
    </row>
    <row r="74" spans="3:27">
      <c r="C74" s="44" t="s">
        <v>30</v>
      </c>
      <c r="D74" s="19">
        <v>10324.959999999999</v>
      </c>
      <c r="E74" s="20">
        <f>+D74/$D$14</f>
        <v>1.0460793296345106E-2</v>
      </c>
      <c r="F74" s="19">
        <v>19468.455650416701</v>
      </c>
      <c r="G74" s="52">
        <f>+F74/$F$14</f>
        <v>1.5008217400625329E-2</v>
      </c>
      <c r="H74" s="19"/>
      <c r="I74" s="20">
        <f>+H74/H14</f>
        <v>0</v>
      </c>
      <c r="J74" s="19">
        <f>+[1]SM2025!Q72*-1</f>
        <v>44870.411327999995</v>
      </c>
      <c r="K74" s="20">
        <f>+J74/J14</f>
        <v>4.32200419254644E-2</v>
      </c>
      <c r="L74" s="35">
        <f>-'[1]SM2026.'!Q73</f>
        <v>66686.338431999975</v>
      </c>
      <c r="M74" s="20">
        <f>+L74/L14</f>
        <v>3.0678981885847483E-2</v>
      </c>
      <c r="N74" s="35">
        <f>+L74*1.02</f>
        <v>68020.065200639976</v>
      </c>
      <c r="O74" s="20">
        <f>+N74/N14</f>
        <v>2.9527981063380945E-2</v>
      </c>
      <c r="P74" s="35">
        <f>+N74*1.02</f>
        <v>69380.466504652781</v>
      </c>
      <c r="Q74" s="20">
        <f>+P74/P14</f>
        <v>2.8315428920837479E-2</v>
      </c>
      <c r="R74" s="35">
        <f>+P74*1.02</f>
        <v>70768.075834745832</v>
      </c>
      <c r="S74" s="20">
        <f>+R74/R14</f>
        <v>2.7583427082977348E-2</v>
      </c>
      <c r="T74" s="35">
        <f>+R74*1.02</f>
        <v>72183.437351440749</v>
      </c>
      <c r="U74" s="20">
        <f>+T74/T14</f>
        <v>2.7048663165042577E-2</v>
      </c>
      <c r="V74" s="35">
        <f>+T74*1.02</f>
        <v>73627.106098469565</v>
      </c>
      <c r="W74" s="20">
        <f>+V74/V14</f>
        <v>2.6524226809500638E-2</v>
      </c>
      <c r="X74" s="35">
        <f>+V74*1.02</f>
        <v>75099.648220438961</v>
      </c>
      <c r="Y74" s="20">
        <f>+X74/X14</f>
        <v>2.6177442328406967E-2</v>
      </c>
      <c r="Z74" s="35">
        <f>+X74*1.02</f>
        <v>76601.641184847744</v>
      </c>
      <c r="AA74" s="20">
        <f>+Z74/Z14</f>
        <v>2.5669792157374052E-2</v>
      </c>
    </row>
    <row r="75" spans="3:27">
      <c r="C75" s="44" t="s">
        <v>14</v>
      </c>
      <c r="D75" s="19">
        <v>8641.36</v>
      </c>
      <c r="E75" s="20">
        <f>+D75/$D$14</f>
        <v>8.7550441608785657E-3</v>
      </c>
      <c r="F75" s="19">
        <v>24496.01</v>
      </c>
      <c r="G75" s="52">
        <f>+F75/$F$14</f>
        <v>1.8883955159536399E-2</v>
      </c>
      <c r="H75" s="19"/>
      <c r="I75" s="20">
        <f>+H75/H14</f>
        <v>0</v>
      </c>
      <c r="J75" s="19">
        <f>+[1]SM2025!Q73*-1</f>
        <v>41527.411199999995</v>
      </c>
      <c r="K75" s="20">
        <f>+J75/J14</f>
        <v>0.04</v>
      </c>
      <c r="L75" s="35">
        <f>-'[1]SM2026.'!Q74</f>
        <v>71794.580000000016</v>
      </c>
      <c r="M75" s="20">
        <v>3.5000000000000003E-2</v>
      </c>
      <c r="N75" s="19">
        <f>+N14*O75</f>
        <v>76018.138415999987</v>
      </c>
      <c r="O75" s="20">
        <v>3.3000000000000002E-2</v>
      </c>
      <c r="P75" s="19">
        <f>+P14*Q75</f>
        <v>75958.392424755206</v>
      </c>
      <c r="Q75" s="20">
        <v>3.1E-2</v>
      </c>
      <c r="R75" s="19">
        <f>R74*(P75/P74)</f>
        <v>77477.560273250303</v>
      </c>
      <c r="S75" s="20">
        <f>+R75/R14</f>
        <v>3.0198597448864179E-2</v>
      </c>
      <c r="T75" s="19">
        <f>T74*(R75/R74)</f>
        <v>79027.11147871532</v>
      </c>
      <c r="U75" s="20">
        <f>+T75/T14</f>
        <v>2.9613132842188979E-2</v>
      </c>
      <c r="V75" s="19">
        <f>V74*(T75/T74)</f>
        <v>80607.653708289625</v>
      </c>
      <c r="W75" s="20">
        <f>+V75/V14</f>
        <v>2.9038974948722065E-2</v>
      </c>
      <c r="X75" s="19">
        <f>X74*(V75/V74)</f>
        <v>82219.806782455416</v>
      </c>
      <c r="Y75" s="20">
        <f>+X75/X14</f>
        <v>2.8659312011460582E-2</v>
      </c>
      <c r="Z75" s="19">
        <f>Z74*(X75/X74)</f>
        <v>83864.202918104536</v>
      </c>
      <c r="AA75" s="20">
        <f>+Z75/Z14</f>
        <v>2.8103531791919593E-2</v>
      </c>
    </row>
    <row r="76" spans="3:27">
      <c r="C76" s="3" t="s">
        <v>35</v>
      </c>
      <c r="D76" s="19">
        <v>18966.32</v>
      </c>
      <c r="E76" s="20">
        <f>+D76/$D$14</f>
        <v>1.9215837457223672E-2</v>
      </c>
      <c r="F76" s="19">
        <v>43964.4656504167</v>
      </c>
      <c r="G76" s="52">
        <f>+F76/$F$14</f>
        <v>3.3892172560161728E-2</v>
      </c>
      <c r="H76" s="19"/>
      <c r="I76" s="20">
        <f>+H76/H14</f>
        <v>0</v>
      </c>
      <c r="J76" s="19">
        <f>+[1]SM2025!Q74*-1</f>
        <v>103277.76532799999</v>
      </c>
      <c r="K76" s="20">
        <f>+J76/J14</f>
        <v>9.9479127009005561E-2</v>
      </c>
      <c r="L76" s="19">
        <f>+L74+L75</f>
        <v>138480.91843199998</v>
      </c>
      <c r="M76" s="20">
        <f>+L76/L14</f>
        <v>6.3708005087773648E-2</v>
      </c>
      <c r="N76" s="19">
        <f>+N74+N75</f>
        <v>144038.20361663995</v>
      </c>
      <c r="O76" s="20">
        <f>+N76/N14</f>
        <v>6.2527981063380936E-2</v>
      </c>
      <c r="P76" s="19">
        <f>+P74+P75</f>
        <v>145338.85892940799</v>
      </c>
      <c r="Q76" s="20">
        <f>+P76/P14</f>
        <v>5.9315428920837479E-2</v>
      </c>
      <c r="R76" s="19">
        <f>+R74+R75</f>
        <v>148245.63610799614</v>
      </c>
      <c r="S76" s="20">
        <f>+R76/R14</f>
        <v>5.778202453184153E-2</v>
      </c>
      <c r="T76" s="19">
        <f>+T74+T75</f>
        <v>151210.54883015607</v>
      </c>
      <c r="U76" s="20">
        <f>+T76/T14</f>
        <v>5.6661796007231556E-2</v>
      </c>
      <c r="V76" s="19">
        <f>+V74+V75</f>
        <v>154234.75980675919</v>
      </c>
      <c r="W76" s="20">
        <f>+V76/V14</f>
        <v>5.5563201758222699E-2</v>
      </c>
      <c r="X76" s="19">
        <f>+X74+X75</f>
        <v>157319.45500289439</v>
      </c>
      <c r="Y76" s="20">
        <f>+X76/X14</f>
        <v>5.4836754339867552E-2</v>
      </c>
      <c r="Z76" s="19">
        <f>+Z74+Z75</f>
        <v>160465.84410295228</v>
      </c>
      <c r="AA76" s="20">
        <f>+Z76/Z14</f>
        <v>5.3773323949293649E-2</v>
      </c>
    </row>
    <row r="77" spans="3:27">
      <c r="C77" s="44"/>
      <c r="D77" s="15"/>
      <c r="E77" s="18"/>
      <c r="F77" s="15"/>
      <c r="G77" s="1"/>
      <c r="H77" s="15"/>
      <c r="I77" s="18"/>
      <c r="J77" s="15"/>
      <c r="K77" s="18"/>
      <c r="L77" s="15"/>
      <c r="M77" s="18"/>
      <c r="N77" s="15"/>
      <c r="O77" s="18"/>
      <c r="P77" s="15"/>
      <c r="Q77" s="15"/>
      <c r="R77" s="15"/>
      <c r="S77" s="18"/>
      <c r="T77" s="15"/>
      <c r="U77" s="18"/>
      <c r="V77" s="15"/>
      <c r="W77" s="18"/>
      <c r="X77" s="15"/>
      <c r="Y77" s="18"/>
      <c r="Z77" s="15"/>
      <c r="AA77" s="18"/>
    </row>
    <row r="78" spans="3:27">
      <c r="C78" s="44" t="s">
        <v>36</v>
      </c>
      <c r="D78" s="15"/>
      <c r="E78" s="18"/>
      <c r="F78" s="15"/>
      <c r="G78" s="1"/>
      <c r="H78" s="15"/>
      <c r="I78" s="18"/>
      <c r="J78" s="15"/>
      <c r="K78" s="18"/>
      <c r="M78" s="18"/>
      <c r="N78" s="15"/>
      <c r="O78" s="18"/>
      <c r="P78" s="15"/>
      <c r="Q78" s="18"/>
      <c r="R78" s="15"/>
      <c r="S78" s="18"/>
      <c r="T78" s="15"/>
      <c r="U78" s="18"/>
      <c r="V78" s="15"/>
      <c r="W78" s="18"/>
      <c r="X78" s="15"/>
      <c r="Y78" s="18"/>
      <c r="Z78" s="15"/>
      <c r="AA78" s="18"/>
    </row>
    <row r="79" spans="3:27">
      <c r="C79" s="44" t="s">
        <v>30</v>
      </c>
      <c r="D79" s="19">
        <v>41410.932200000003</v>
      </c>
      <c r="E79" s="20">
        <f>+D79/$D$14</f>
        <v>4.1955726894163443E-2</v>
      </c>
      <c r="F79" s="19">
        <v>35868.049666500003</v>
      </c>
      <c r="G79" s="52">
        <f>+F79/$F$14</f>
        <v>2.7650651741333E-2</v>
      </c>
      <c r="H79" s="19">
        <v>15602.540400166667</v>
      </c>
      <c r="I79" s="20">
        <f>+H79/H14</f>
        <v>3.408826636989943E-2</v>
      </c>
      <c r="J79" s="19">
        <f>+[1]SM2025!Q77*-1</f>
        <v>106780.82086399999</v>
      </c>
      <c r="K79" s="20">
        <f>+J79/J14</f>
        <v>0.10285333737731285</v>
      </c>
      <c r="L79" s="35">
        <f>-'[1]SM2026.'!Q78</f>
        <v>175806.521072</v>
      </c>
      <c r="M79" s="20">
        <f>+L79/L14</f>
        <v>8.0879610459968013E-2</v>
      </c>
      <c r="N79" s="35">
        <f>+L79*1.04</f>
        <v>182838.78191488</v>
      </c>
      <c r="O79" s="20">
        <f>+N79/N14</f>
        <v>7.9371580637406083E-2</v>
      </c>
      <c r="P79" s="35">
        <f>+N79*1.04</f>
        <v>190152.33319147522</v>
      </c>
      <c r="Q79" s="20">
        <f>+P79/P14</f>
        <v>7.7604621961622947E-2</v>
      </c>
      <c r="R79" s="35">
        <f>+P79*1.04</f>
        <v>197758.42651913423</v>
      </c>
      <c r="S79" s="20">
        <f>+R79/R14</f>
        <v>7.708073271163661E-2</v>
      </c>
      <c r="T79" s="35">
        <f>+R79*1.04</f>
        <v>205668.76357989959</v>
      </c>
      <c r="U79" s="20">
        <f>+T79/T14</f>
        <v>7.706844275866899E-2</v>
      </c>
      <c r="V79" s="35">
        <f>+T79*1.04</f>
        <v>213895.51412309558</v>
      </c>
      <c r="W79" s="20">
        <f>+V79/V14</f>
        <v>7.7056038608227517E-2</v>
      </c>
      <c r="X79" s="35">
        <f>+V79*1.04</f>
        <v>222451.33468801941</v>
      </c>
      <c r="Y79" s="20">
        <f>+X79/X14</f>
        <v>7.753973717133808E-2</v>
      </c>
      <c r="Z79" s="35">
        <f>+X79*1.04</f>
        <v>231349.38807554019</v>
      </c>
      <c r="AA79" s="20">
        <f>+Z79/Z14</f>
        <v>7.7526938271519644E-2</v>
      </c>
    </row>
    <row r="80" spans="3:27">
      <c r="C80" s="44" t="s">
        <v>14</v>
      </c>
      <c r="D80" s="19">
        <v>65544.399999999994</v>
      </c>
      <c r="E80" s="20">
        <f>+D80/$D$14</f>
        <v>6.6406690208287697E-2</v>
      </c>
      <c r="F80" s="19">
        <v>71858.05</v>
      </c>
      <c r="G80" s="52">
        <f>+F80/$F$14</f>
        <v>5.5395315157518499E-2</v>
      </c>
      <c r="H80" s="19">
        <v>2288.5500000000002</v>
      </c>
      <c r="I80" s="20">
        <f>+H80/H14</f>
        <v>5.0000000000000001E-3</v>
      </c>
      <c r="J80" s="19">
        <f>+[1]SM2025!Q78*-1</f>
        <v>67020.66</v>
      </c>
      <c r="K80" s="20">
        <v>2.1999999999999999E-2</v>
      </c>
      <c r="L80" s="35">
        <f>-'[1]SM2026.'!Q79</f>
        <v>20080</v>
      </c>
      <c r="M80" s="20">
        <f>+L80/L14</f>
        <v>9.2377834913816258E-3</v>
      </c>
      <c r="N80" s="35">
        <f>+L80*1.04</f>
        <v>20883.2</v>
      </c>
      <c r="O80" s="20">
        <f>+N80/N14</f>
        <v>9.0655416504510384E-3</v>
      </c>
      <c r="P80" s="35">
        <f>+N80*1.04</f>
        <v>21718.528000000002</v>
      </c>
      <c r="Q80" s="20">
        <f>+P80/P14</f>
        <v>8.8637258702775907E-3</v>
      </c>
      <c r="R80" s="35">
        <f>+P80*1.04</f>
        <v>22587.269120000004</v>
      </c>
      <c r="S80" s="20">
        <f>+R80/R14</f>
        <v>8.8038890901878612E-3</v>
      </c>
      <c r="T80" s="35">
        <f>+R80*1.04</f>
        <v>23490.759884800005</v>
      </c>
      <c r="U80" s="20">
        <f>+T80/T14</f>
        <v>8.8024853751602003E-3</v>
      </c>
      <c r="V80" s="35">
        <f>+T80*1.04</f>
        <v>24430.390280192005</v>
      </c>
      <c r="W80" s="20">
        <f>+V80/V14</f>
        <v>8.8010686169003455E-3</v>
      </c>
      <c r="X80" s="35">
        <f>+V80*1.04</f>
        <v>25407.605891399686</v>
      </c>
      <c r="Y80" s="20">
        <f>+X80/X14</f>
        <v>8.8563149586630748E-3</v>
      </c>
      <c r="Z80" s="35">
        <f>+X80*1.04</f>
        <v>26423.910127055675</v>
      </c>
      <c r="AA80" s="20">
        <f>+Z80/Z14</f>
        <v>8.8548531135233897E-3</v>
      </c>
    </row>
    <row r="81" spans="3:27">
      <c r="C81" s="3" t="s">
        <v>37</v>
      </c>
      <c r="D81" s="19">
        <v>106955.3322</v>
      </c>
      <c r="E81" s="20">
        <f>+D81/$D$14</f>
        <v>0.10836241710245115</v>
      </c>
      <c r="F81" s="19">
        <v>107726.0996665</v>
      </c>
      <c r="G81" s="52">
        <f>+F81/$F$14</f>
        <v>8.3045966898851492E-2</v>
      </c>
      <c r="H81" s="19">
        <v>17891.090400166664</v>
      </c>
      <c r="I81" s="20">
        <f>+H81/H14</f>
        <v>3.908826636989942E-2</v>
      </c>
      <c r="J81" s="19">
        <f>+[1]SM2025!Q79*-1</f>
        <v>173801.48086400001</v>
      </c>
      <c r="K81" s="20">
        <f>+J81/J14</f>
        <v>0.1674089242182282</v>
      </c>
      <c r="L81" s="19">
        <f>+L79+L80</f>
        <v>195886.521072</v>
      </c>
      <c r="M81" s="20">
        <f>+L81/L14</f>
        <v>9.0117393951349628E-2</v>
      </c>
      <c r="N81" s="19">
        <f>+N79+N80</f>
        <v>203721.98191488002</v>
      </c>
      <c r="O81" s="20">
        <f>+N81/N14</f>
        <v>8.8437122287857134E-2</v>
      </c>
      <c r="P81" s="19">
        <f>+P79+P80</f>
        <v>211870.86119147521</v>
      </c>
      <c r="Q81" s="20">
        <f>+P81/P14</f>
        <v>8.6468347831900522E-2</v>
      </c>
      <c r="R81" s="19">
        <f>+R79+R80</f>
        <v>220345.69563913424</v>
      </c>
      <c r="S81" s="20">
        <f>+R81/R14</f>
        <v>8.5884621801824462E-2</v>
      </c>
      <c r="T81" s="19">
        <f>+T79+T80</f>
        <v>229159.5234646996</v>
      </c>
      <c r="U81" s="20">
        <f>+T81/T14</f>
        <v>8.5870928133829183E-2</v>
      </c>
      <c r="V81" s="19">
        <f>+V79+V80</f>
        <v>238325.90440328757</v>
      </c>
      <c r="W81" s="20">
        <f>+V81/V14</f>
        <v>8.5857107225127849E-2</v>
      </c>
      <c r="X81" s="19">
        <f>+X79+X80</f>
        <v>247858.94057941911</v>
      </c>
      <c r="Y81" s="20">
        <f>+X81/X14</f>
        <v>8.639605213000115E-2</v>
      </c>
      <c r="Z81" s="19">
        <f>+Z79+Z80</f>
        <v>257773.29820259588</v>
      </c>
      <c r="AA81" s="20">
        <f>+Z81/Z14</f>
        <v>8.6381791385043039E-2</v>
      </c>
    </row>
    <row r="82" spans="3:27">
      <c r="C82" s="44"/>
      <c r="D82" s="15"/>
      <c r="E82" s="18"/>
      <c r="F82" s="15"/>
      <c r="G82" s="1"/>
      <c r="H82" s="15"/>
      <c r="I82" s="18"/>
      <c r="J82" s="15"/>
      <c r="K82" s="18"/>
      <c r="L82" s="15"/>
      <c r="M82" s="18"/>
      <c r="N82" s="15"/>
      <c r="O82" s="18"/>
      <c r="P82" s="15"/>
      <c r="Q82" s="18"/>
      <c r="R82" s="15"/>
      <c r="S82" s="18"/>
      <c r="T82" s="15"/>
      <c r="U82" s="18"/>
      <c r="V82" s="15"/>
      <c r="W82" s="18"/>
      <c r="X82" s="15"/>
      <c r="Y82" s="18"/>
      <c r="Z82" s="15"/>
      <c r="AA82" s="18"/>
    </row>
    <row r="83" spans="3:27">
      <c r="C83" s="44" t="s">
        <v>38</v>
      </c>
      <c r="D83" s="27">
        <v>37982.04</v>
      </c>
      <c r="E83" s="20">
        <f>+D83/$D$14</f>
        <v>3.8481724811864813E-2</v>
      </c>
      <c r="F83" s="27">
        <v>31997.495375954699</v>
      </c>
      <c r="G83" s="52">
        <f>+F83/$F$14</f>
        <v>2.4666844432909764E-2</v>
      </c>
      <c r="H83" s="27">
        <v>5492.52</v>
      </c>
      <c r="I83" s="20">
        <f>+H83/H14</f>
        <v>1.2E-2</v>
      </c>
      <c r="J83" s="27">
        <f>+[1]SM2025!Q86*-1</f>
        <v>20034.260000000002</v>
      </c>
      <c r="K83" s="20">
        <v>0.01</v>
      </c>
      <c r="L83" s="35">
        <f>-'[1]SM2026.'!Q87</f>
        <v>45548.82</v>
      </c>
      <c r="M83" s="20">
        <f>+K83-0.1%</f>
        <v>9.0000000000000011E-3</v>
      </c>
      <c r="N83" s="35">
        <f>+N14*O83</f>
        <v>18428.639615999997</v>
      </c>
      <c r="O83" s="20">
        <f>+M83-0.1%</f>
        <v>8.0000000000000002E-3</v>
      </c>
      <c r="P83" s="35">
        <f>+P14*Q83</f>
        <v>17151.895063654403</v>
      </c>
      <c r="Q83" s="20">
        <f>+O83-0.1%</f>
        <v>7.0000000000000001E-3</v>
      </c>
      <c r="R83" s="35">
        <f>+R14*S83</f>
        <v>15393.60768084235</v>
      </c>
      <c r="S83" s="20">
        <f>+Q83-0.1%</f>
        <v>6.0000000000000001E-3</v>
      </c>
      <c r="T83" s="35">
        <f>+T14*U83</f>
        <v>16011.904967946048</v>
      </c>
      <c r="U83" s="20">
        <f>+S83</f>
        <v>6.0000000000000001E-3</v>
      </c>
      <c r="V83" s="35">
        <f>+V14*W83</f>
        <v>16655.061795527388</v>
      </c>
      <c r="W83" s="20">
        <f>+U83</f>
        <v>6.0000000000000001E-3</v>
      </c>
      <c r="X83" s="35">
        <f>+X14*Y83</f>
        <v>17213.212951429508</v>
      </c>
      <c r="Y83" s="20">
        <f>+W83</f>
        <v>6.0000000000000001E-3</v>
      </c>
      <c r="Z83" s="35">
        <f>+Z14*AA83</f>
        <v>17904.696862808698</v>
      </c>
      <c r="AA83" s="20">
        <f>+Y83</f>
        <v>6.0000000000000001E-3</v>
      </c>
    </row>
    <row r="84" spans="3:27">
      <c r="C84" s="57" t="s">
        <v>39</v>
      </c>
      <c r="D84" s="19"/>
      <c r="E84" s="28"/>
      <c r="F84" s="19"/>
      <c r="G84" s="58"/>
      <c r="H84" s="19"/>
      <c r="I84" s="28"/>
      <c r="J84" s="19"/>
      <c r="K84" s="28"/>
      <c r="L84" s="27"/>
      <c r="M84" s="28"/>
      <c r="N84" s="27"/>
      <c r="O84" s="28"/>
      <c r="P84" s="27"/>
      <c r="Q84" s="28"/>
      <c r="R84" s="27"/>
      <c r="S84" s="28"/>
      <c r="T84" s="27"/>
      <c r="U84" s="28"/>
      <c r="V84" s="27"/>
      <c r="W84" s="28"/>
      <c r="X84" s="27"/>
      <c r="Y84" s="28"/>
      <c r="Z84" s="27"/>
      <c r="AA84" s="28"/>
    </row>
    <row r="85" spans="3:27">
      <c r="C85" s="57" t="s">
        <v>40</v>
      </c>
      <c r="D85" s="19"/>
      <c r="E85" s="28"/>
      <c r="F85" s="19"/>
      <c r="G85" s="58"/>
      <c r="H85" s="19"/>
      <c r="I85" s="28"/>
      <c r="J85" s="19"/>
      <c r="K85" s="28"/>
      <c r="L85" s="59"/>
      <c r="M85" s="28"/>
      <c r="N85" s="27"/>
      <c r="O85" s="28"/>
      <c r="P85" s="27"/>
      <c r="Q85" s="28"/>
      <c r="R85" s="27"/>
      <c r="S85" s="28"/>
      <c r="T85" s="27"/>
      <c r="U85" s="28"/>
      <c r="V85" s="27"/>
      <c r="W85" s="28"/>
      <c r="X85" s="27"/>
      <c r="Y85" s="28"/>
      <c r="Z85" s="27"/>
      <c r="AA85" s="28"/>
    </row>
    <row r="86" spans="3:27" ht="16" thickBot="1">
      <c r="C86" s="57" t="s">
        <v>41</v>
      </c>
      <c r="D86" s="19"/>
      <c r="E86" s="28"/>
      <c r="F86" s="19"/>
      <c r="G86" s="58"/>
      <c r="H86" s="19"/>
      <c r="I86" s="28"/>
      <c r="J86" s="19"/>
      <c r="K86" s="28"/>
      <c r="L86" s="27"/>
      <c r="M86" s="28"/>
      <c r="N86" s="27"/>
      <c r="O86" s="28"/>
      <c r="P86" s="27"/>
      <c r="Q86" s="28"/>
      <c r="R86" s="27"/>
      <c r="S86" s="28"/>
      <c r="T86" s="27"/>
      <c r="U86" s="28"/>
      <c r="V86" s="27"/>
      <c r="W86" s="28"/>
      <c r="X86" s="27"/>
      <c r="Y86" s="28"/>
      <c r="Z86" s="27"/>
      <c r="AA86" s="28"/>
    </row>
    <row r="87" spans="3:27" ht="16" thickBot="1">
      <c r="C87" s="60" t="s">
        <v>42</v>
      </c>
      <c r="D87" s="27"/>
      <c r="E87" s="28"/>
      <c r="F87" s="27"/>
      <c r="G87" s="58"/>
      <c r="H87" s="27"/>
      <c r="I87" s="28"/>
      <c r="J87" s="27"/>
      <c r="K87" s="28"/>
      <c r="L87" s="27"/>
      <c r="M87" s="28"/>
      <c r="N87" s="27"/>
      <c r="O87" s="28"/>
      <c r="P87" s="27"/>
      <c r="Q87" s="28"/>
      <c r="R87" s="27"/>
      <c r="S87" s="28"/>
      <c r="T87" s="27"/>
      <c r="U87" s="28"/>
      <c r="V87" s="27"/>
      <c r="W87" s="28"/>
      <c r="X87" s="27"/>
      <c r="Y87" s="28"/>
      <c r="Z87" s="27"/>
      <c r="AA87" s="28"/>
    </row>
    <row r="88" spans="3:27">
      <c r="C88" s="44"/>
      <c r="D88" s="29"/>
      <c r="E88" s="30"/>
      <c r="F88" s="29"/>
      <c r="G88" s="61"/>
      <c r="H88" s="29"/>
      <c r="I88" s="30"/>
      <c r="J88" s="29"/>
      <c r="K88" s="30"/>
      <c r="L88" s="29"/>
      <c r="M88" s="30"/>
      <c r="N88" s="29"/>
      <c r="O88" s="30"/>
      <c r="P88" s="29"/>
      <c r="Q88" s="30"/>
      <c r="R88" s="29"/>
      <c r="S88" s="30"/>
      <c r="T88" s="29"/>
      <c r="U88" s="30"/>
      <c r="V88" s="29"/>
      <c r="W88" s="30"/>
      <c r="X88" s="29"/>
      <c r="Y88" s="30"/>
      <c r="Z88" s="29"/>
      <c r="AA88" s="30"/>
    </row>
    <row r="89" spans="3:27">
      <c r="C89" s="56" t="s">
        <v>43</v>
      </c>
      <c r="D89" s="19">
        <v>187173.0722</v>
      </c>
      <c r="E89" s="20">
        <f>+D89/$D$14</f>
        <v>0.18963548710368647</v>
      </c>
      <c r="F89" s="19">
        <v>285303.69617001101</v>
      </c>
      <c r="G89" s="52">
        <f>+F89/$F$14</f>
        <v>0.2199403986740896</v>
      </c>
      <c r="H89" s="19">
        <v>56923.4600785</v>
      </c>
      <c r="I89" s="20">
        <f>+H89/H14</f>
        <v>0.12436577762884796</v>
      </c>
      <c r="J89" s="19">
        <f>+[1]SM2025!Q88*-1</f>
        <v>529558.85605200008</v>
      </c>
      <c r="K89" s="20">
        <f>+J89/J14</f>
        <v>0.51008126030451917</v>
      </c>
      <c r="L89" s="19">
        <f>L83++L70+L81+L76+L66</f>
        <v>565657.23574399995</v>
      </c>
      <c r="M89" s="20">
        <f>+L89/L14</f>
        <v>0.26023003357253421</v>
      </c>
      <c r="N89" s="19">
        <f>N83++N70+N81+N76+N66</f>
        <v>555809.68091232004</v>
      </c>
      <c r="O89" s="20">
        <f>+N89/N14</f>
        <v>0.24128082918492083</v>
      </c>
      <c r="P89" s="19">
        <f>P83++P70+P81+P76+P66</f>
        <v>567944.89986463357</v>
      </c>
      <c r="Q89" s="20">
        <f>+P89/P14</f>
        <v>0.23178863235217265</v>
      </c>
      <c r="R89" s="19">
        <f>R83++R70+R81+R76+R66</f>
        <v>581615.00195567065</v>
      </c>
      <c r="S89" s="20">
        <f>+R89/R14</f>
        <v>0.22669734633272567</v>
      </c>
      <c r="T89" s="19">
        <f>T83++T70+T81+T76+T66</f>
        <v>598145.0065596737</v>
      </c>
      <c r="U89" s="20">
        <f>+T89/T14</f>
        <v>0.22413760552180009</v>
      </c>
      <c r="V89" s="19">
        <f>V83++V70+V81+V76+V66</f>
        <v>615199.79237256211</v>
      </c>
      <c r="W89" s="20">
        <f>+V89/V14</f>
        <v>0.22162624189281727</v>
      </c>
      <c r="X89" s="19">
        <f>X83++X70+X81+X76+X66</f>
        <v>632686.70600677468</v>
      </c>
      <c r="Y89" s="20">
        <f>+X89/X14</f>
        <v>0.220535250842022</v>
      </c>
      <c r="Z89" s="19">
        <f>Z83++Z70+Z81+Z76+Z66</f>
        <v>650841.92886291421</v>
      </c>
      <c r="AA89" s="20">
        <f>+Z89/Z14</f>
        <v>0.21810207696333503</v>
      </c>
    </row>
    <row r="90" spans="3:27">
      <c r="C90" s="44"/>
      <c r="D90" s="15"/>
      <c r="E90" s="18"/>
      <c r="F90" s="15"/>
      <c r="G90" s="1"/>
      <c r="H90" s="15"/>
      <c r="I90" s="18"/>
      <c r="J90" s="15"/>
      <c r="K90" s="18"/>
      <c r="L90" s="15"/>
      <c r="M90" s="18"/>
      <c r="N90" s="15"/>
      <c r="O90" s="18"/>
      <c r="P90" s="15"/>
      <c r="Q90" s="18"/>
      <c r="R90" s="15"/>
      <c r="S90" s="18"/>
      <c r="T90" s="15"/>
      <c r="U90" s="18"/>
      <c r="V90" s="15"/>
      <c r="W90" s="18"/>
      <c r="X90" s="15"/>
      <c r="Y90" s="18"/>
      <c r="Z90" s="15"/>
      <c r="AA90" s="18"/>
    </row>
    <row r="91" spans="3:27" ht="16" thickBot="1">
      <c r="C91" s="56" t="s">
        <v>44</v>
      </c>
      <c r="D91" s="31">
        <v>190331.16000000006</v>
      </c>
      <c r="E91" s="62">
        <f>+D91/$D$14</f>
        <v>0.19283512213253984</v>
      </c>
      <c r="F91" s="31">
        <v>194210.15396421045</v>
      </c>
      <c r="G91" s="32">
        <f>+F91/$F$14</f>
        <v>0.149716457455186</v>
      </c>
      <c r="H91" s="31">
        <v>273409.89639862505</v>
      </c>
      <c r="I91" s="32">
        <f>+H91/H14</f>
        <v>0.59734306962623729</v>
      </c>
      <c r="J91" s="31">
        <f>+[1]SM2025!Q90</f>
        <v>-275188.16337369999</v>
      </c>
      <c r="K91" s="32">
        <f>+J91/J14</f>
        <v>-0.26506652393848235</v>
      </c>
      <c r="L91" s="31">
        <f>L61-L89</f>
        <v>476530.67966069444</v>
      </c>
      <c r="M91" s="32">
        <f>+L91/L14</f>
        <v>0.21922745247541978</v>
      </c>
      <c r="N91" s="31">
        <f>N61-N89</f>
        <v>582670.13915964006</v>
      </c>
      <c r="O91" s="32">
        <f>+N91/N14</f>
        <v>0.25294114000851498</v>
      </c>
      <c r="P91" s="31">
        <f>P61-P89</f>
        <v>679280.85562352906</v>
      </c>
      <c r="Q91" s="32">
        <f>+P91/P14</f>
        <v>0.2772268587067489</v>
      </c>
      <c r="R91" s="31">
        <f>R61-R89</f>
        <v>748487.90333464148</v>
      </c>
      <c r="S91" s="32">
        <f>+R91/R14</f>
        <v>0.29173976062784146</v>
      </c>
      <c r="T91" s="31">
        <f>T61-T89</f>
        <v>804341.45719745243</v>
      </c>
      <c r="U91" s="32">
        <f>+T91/T14</f>
        <v>0.30140378379998489</v>
      </c>
      <c r="V91" s="31">
        <f>V61-V89</f>
        <v>861936.92345808132</v>
      </c>
      <c r="W91" s="32">
        <f>+V91/V14</f>
        <v>0.31051350059459365</v>
      </c>
      <c r="X91" s="31">
        <f>X61-X89</f>
        <v>906930.76894388441</v>
      </c>
      <c r="Y91" s="32">
        <f>+X91/X14</f>
        <v>0.31612835029798425</v>
      </c>
      <c r="Z91" s="31">
        <f>Z61-Z89</f>
        <v>962461.44666697131</v>
      </c>
      <c r="AA91" s="32">
        <f>+Z91/Z14</f>
        <v>0.32252814578486777</v>
      </c>
    </row>
    <row r="93" spans="3:27">
      <c r="L93" s="63"/>
    </row>
    <row r="94" spans="3:27">
      <c r="L94" s="63"/>
    </row>
    <row r="95" spans="3:27">
      <c r="D95" s="64"/>
    </row>
  </sheetData>
  <mergeCells count="1">
    <mergeCell ref="C2:C3"/>
  </mergeCells>
  <dataValidations count="9">
    <dataValidation type="textLength" errorStyle="information" allowBlank="1" showInputMessage="1" error="XLBVal:6=32832.53_x000d__x000a_" sqref="L36 N36 Z36 H36 P36 R36 T36 V36 X36 J36" xr:uid="{02BD34D1-007F-42EE-969B-8FC794940807}">
      <formula1>0</formula1>
      <formula2>300</formula2>
    </dataValidation>
    <dataValidation type="textLength" errorStyle="information" allowBlank="1" showInputMessage="1" error="XLBVal:6=384401.81_x000d__x000a_" sqref="L21 N21 Z21 H21 P21 R21 T21 V21 X21" xr:uid="{CEF96FD5-6238-4472-ACE7-2BE477A15D3E}">
      <formula1>0</formula1>
      <formula2>300</formula2>
    </dataValidation>
    <dataValidation type="textLength" errorStyle="information" allowBlank="1" showInputMessage="1" error="XLBVal:6=-65635.43_x000d__x000a_" sqref="X28 N28 Z28 J28 P28 R28 T28 V28" xr:uid="{E2BFFBD0-992D-42AD-A1CC-574A659FBC03}">
      <formula1>0</formula1>
      <formula2>300</formula2>
    </dataValidation>
    <dataValidation type="textLength" errorStyle="information" allowBlank="1" showInputMessage="1" error="XLBVal:6=249492.08_x000d__x000a_" sqref="L39 N39 Z39 H39 P39 R39 T39 V39 X39 J39" xr:uid="{16ABCE36-C510-45E7-A824-99C50CB34302}">
      <formula1>0</formula1>
      <formula2>300</formula2>
    </dataValidation>
    <dataValidation type="textLength" errorStyle="information" allowBlank="1" showInputMessage="1" error="XLBVal:6=492684.73_x000d__x000a_" sqref="X84:X87 H84:H87 L84:L87 Z84:Z87 N84:N87 P84:P87 R84:R87 T84:T87 V84:V87 J84:J87" xr:uid="{07277147-F9E6-495E-8CB0-805EABA60D21}">
      <formula1>0</formula1>
      <formula2>300</formula2>
    </dataValidation>
    <dataValidation type="textLength" errorStyle="information" allowBlank="1" showInputMessage="1" error="XLBVal:6=99506.37_x000d__x000a_" sqref="L58 L47:L48 L65 L19:L20 P75 L26:L35 L53 Z58 X58 V29:V35 N58 N47:N48 N65 N29:N35 N26:N27 J29:J35 H30:H32 N53 X29:X35 T19:T20 Z53 T75 T53 V19:V20 V75 Z26:Z27 V58 V47:V48 V65 V26:V27 Z29:Z35 X65 H58 H47:H48 H34:H35 H20 H26:H27 Z19:Z20 H75 H53 Z65 X47:X48 Z47:Z48 P58 P47:P48 P65 P29:P35 P26:P27 N19:N20 N75 P53 X53 X26:X27 Z75 R58 R47:R48 R65 R29:R35 R26:R27 P19:P20 R75 R53 X75 V53 X19:X20 T58 T47:T48 T65 T29:T35 T26:T27 R19:R20" xr:uid="{BA0172D9-3AC9-4E39-942F-9A958E07F468}">
      <formula1>0</formula1>
      <formula2>300</formula2>
    </dataValidation>
    <dataValidation type="textLength" errorStyle="information" allowBlank="1" showInputMessage="1" error="XLBVal:6=-1961479.08_x000d__x000a_" sqref="Z57 V25 T38 P44:P46 X52 X57 V64 T79:T80 V17:V18 Z52 T74 X25 V38 R44:R46 D91 D89 D52:D54 D70 D64:D66 D57:D59 D74:D76 D61 D79:D81 D17:D22 D25:D41 D44:D49 Z44:Z46 J57:J59 N17:N18 L70 L64 J83 H25 X83 H74 X40 X17:X18 H44:H46 H52 J79:J81 L17:L18 N25 X74 V74 X70 J70 R74 N38 H57 L74:L75 L25 L38 L44:L46 L52 L57 V79:V80 N70 P70 R70 T70 P25 N52 N57 V44:V46 Z74 Z83 Z64 J17:J22 P38 Z40 P52 P57 N64 X79:X80 P17:P18 X64 Z17:Z18 Z25 T44:T46 R52 R57 P64 N79:N80 J52:J54 N74 R25 Z79:Z80 X44:X46 T52 T57 R64 P79:P80 R17:R18 P74 T25 R38 N44:N46 V52 V57 T64 R79:R80 T17:T18 D83:D87 Z70 V70 L83 N83 P83 R83 T83 V83 H17 J38 L40 V40 J40 N40 P40 X38 R40 T40 J64:J66 J44:J49 J25:J27 J74:J76 Z38 L79:L80" xr:uid="{7898D87E-DD44-4B1F-A63E-A7CE02BB9D96}">
      <formula1>0</formula1>
      <formula2>300</formula2>
    </dataValidation>
    <dataValidation type="textLength" errorStyle="information" allowBlank="1" showInputMessage="1" error="XLBVal:6=6627_x000d__x000a_" sqref="T9:T10 D9:D10 H9:H10 Z9:Z10 R9:R10 X9:X10 V9:V10 N9:N10 P9:P10 L9:L10" xr:uid="{39740D51-AE30-41D3-B7A1-4BB9A3FFEC68}">
      <formula1>0</formula1>
      <formula2>300</formula2>
    </dataValidation>
    <dataValidation type="textLength" errorStyle="information" allowBlank="1" showInputMessage="1" error="XLBVal:6=11520_x000d__x000a_" sqref="T8 D8 L8 R8 V8 H8 P8 N8 X8 Z8" xr:uid="{99EBFFCB-7F8E-41E8-AC71-89056205A4C5}">
      <formula1>0</formula1>
      <formula2>300</formula2>
    </dataValidation>
  </dataValidations>
  <pageMargins left="0.7" right="0.7" top="0.75" bottom="0.75" header="0.3" footer="0.3"/>
  <pageSetup paperSize="9" scale="54" orientation="portrait" r:id="rId1"/>
  <headerFooter>
    <oddFooter>&amp;L_x000D_&amp;1#&amp;"Arial"&amp;10&amp;K000000 Classification - Public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c605d82-0669-4efe-aa53-0b9361ab7e05" xsi:nil="true"/>
    <IconOverlay xmlns="http://schemas.microsoft.com/sharepoint/v4" xsi:nil="true"/>
    <lcf76f155ced4ddcb4097134ff3c332f xmlns="24bb4cbd-83d9-46f1-8d6a-6fc040df4eeb">
      <Terms xmlns="http://schemas.microsoft.com/office/infopath/2007/PartnerControls"/>
    </lcf76f155ced4ddcb4097134ff3c332f>
    <Department_x0020_access xmlns="24bb4cbd-83d9-46f1-8d6a-6fc040df4eeb">
      <UserInfo>
        <DisplayName/>
        <AccountId xsi:nil="true"/>
        <AccountType/>
      </UserInfo>
    </Department_x0020_access>
    <_dlc_DocId xmlns="ec605d82-0669-4efe-aa53-0b9361ab7e05">4PQJ4EHC2ZHF-2025691686-126560</_dlc_DocId>
    <_dlc_DocIdUrl xmlns="ec605d82-0669-4efe-aa53-0b9361ab7e05">
      <Url>https://canbordoy.sharepoint.com/sites/CanBordoy/_layouts/15/DocIdRedir.aspx?ID=4PQJ4EHC2ZHF-2025691686-126560</Url>
      <Description>4PQJ4EHC2ZHF-2025691686-126560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FFD15C82DEAD45B2F65260505C1E5D" ma:contentTypeVersion="20" ma:contentTypeDescription="Create a new document." ma:contentTypeScope="" ma:versionID="03fc982ac72893a2c889e047ee4a7b97">
  <xsd:schema xmlns:xsd="http://www.w3.org/2001/XMLSchema" xmlns:xs="http://www.w3.org/2001/XMLSchema" xmlns:p="http://schemas.microsoft.com/office/2006/metadata/properties" xmlns:ns2="ec605d82-0669-4efe-aa53-0b9361ab7e05" xmlns:ns3="24bb4cbd-83d9-46f1-8d6a-6fc040df4eeb" xmlns:ns4="http://schemas.microsoft.com/sharepoint/v4" targetNamespace="http://schemas.microsoft.com/office/2006/metadata/properties" ma:root="true" ma:fieldsID="f1f3e94d4c691db24ee6dffa0686f081" ns2:_="" ns3:_="" ns4:_="">
    <xsd:import namespace="ec605d82-0669-4efe-aa53-0b9361ab7e05"/>
    <xsd:import namespace="24bb4cbd-83d9-46f1-8d6a-6fc040df4ee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2:SharedWithUsers" minOccurs="0"/>
                <xsd:element ref="ns2:SharedWithDetails" minOccurs="0"/>
                <xsd:element ref="ns3:Department_x0020_access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4:IconOverlay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605d82-0669-4efe-aa53-0b9361ab7e0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1892dab2-0a69-4fc0-902d-2f9a5f69bcc1}" ma:internalName="TaxCatchAll" ma:showField="CatchAllData" ma:web="ec605d82-0669-4efe-aa53-0b9361ab7e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bb4cbd-83d9-46f1-8d6a-6fc040df4e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epartment_x0020_access" ma:index="20" nillable="true" ma:displayName="Department access" ma:description="what deparment has access" ma:list="UserInfo" ma:SharePointGroup="0" ma:internalName="Department_x0020_access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7679a7d3-4863-495b-81f2-8391b33ec7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0F50F98-AD77-413C-8C8F-2FE0046E6E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AF8CA3-E4DE-46BE-9EBF-8BCB3BA432A5}">
  <ds:schemaRefs>
    <ds:schemaRef ds:uri="http://schemas.microsoft.com/office/2006/metadata/properties"/>
    <ds:schemaRef ds:uri="http://schemas.microsoft.com/office/infopath/2007/PartnerControls"/>
    <ds:schemaRef ds:uri="ec605d82-0669-4efe-aa53-0b9361ab7e05"/>
    <ds:schemaRef ds:uri="http://schemas.microsoft.com/sharepoint/v4"/>
    <ds:schemaRef ds:uri="24bb4cbd-83d9-46f1-8d6a-6fc040df4eeb"/>
  </ds:schemaRefs>
</ds:datastoreItem>
</file>

<file path=customXml/itemProps3.xml><?xml version="1.0" encoding="utf-8"?>
<ds:datastoreItem xmlns:ds="http://schemas.openxmlformats.org/officeDocument/2006/customXml" ds:itemID="{9842E2DD-72BB-4CFF-A12D-518DFDBFD2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605d82-0669-4efe-aa53-0b9361ab7e05"/>
    <ds:schemaRef ds:uri="24bb4cbd-83d9-46f1-8d6a-6fc040df4ee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3FE5516-E1C0-4CE5-BEBB-C3ED4229CF4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P&amp;L</vt:lpstr>
      <vt:lpstr>Proforma</vt:lpstr>
      <vt:lpstr>Sensitivities</vt:lpstr>
      <vt:lpstr>Detailed P&amp;L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Jon Berastegui</cp:lastModifiedBy>
  <cp:revision/>
  <dcterms:created xsi:type="dcterms:W3CDTF">2022-08-22T09:40:29Z</dcterms:created>
  <dcterms:modified xsi:type="dcterms:W3CDTF">2026-01-10T20:36:40Z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0x010100E6FFD15C82DEAD45B2F65260505C1E5D</vt:lpwstr>
  </property>
  <property fmtid="{D5CDD505-2E9C-101B-9397-08002B2CF9AE}" pid="3" name="_dlc_DocIdItemGuid">
    <vt:lpwstr>6588887e-0a53-4ad1-a016-4ad21c0cd609</vt:lpwstr>
  </property>
  <property fmtid="{D5CDD505-2E9C-101B-9397-08002B2CF9AE}" pid="4" name="MediaServiceImageTags">
    <vt:lpwstr/>
  </property>
  <property fmtid="{D5CDD505-2E9C-101B-9397-08002B2CF9AE}" pid="5" name="MSIP_Label_ff528e02-ab69-43a8-9134-6d8d1b0c706c_Enabled">
    <vt:lpwstr>true</vt:lpwstr>
  </property>
  <property fmtid="{D5CDD505-2E9C-101B-9397-08002B2CF9AE}" pid="6" name="MSIP_Label_ff528e02-ab69-43a8-9134-6d8d1b0c706c_SetDate">
    <vt:lpwstr>2025-11-04T15:14:08Z</vt:lpwstr>
  </property>
  <property fmtid="{D5CDD505-2E9C-101B-9397-08002B2CF9AE}" pid="7" name="MSIP_Label_ff528e02-ab69-43a8-9134-6d8d1b0c706c_Method">
    <vt:lpwstr>Standard</vt:lpwstr>
  </property>
  <property fmtid="{D5CDD505-2E9C-101B-9397-08002B2CF9AE}" pid="8" name="MSIP_Label_ff528e02-ab69-43a8-9134-6d8d1b0c706c_Name">
    <vt:lpwstr>ff528e02-ab69-43a8-9134-6d8d1b0c706c</vt:lpwstr>
  </property>
  <property fmtid="{D5CDD505-2E9C-101B-9397-08002B2CF9AE}" pid="9" name="MSIP_Label_ff528e02-ab69-43a8-9134-6d8d1b0c706c_SiteId">
    <vt:lpwstr>f9300280-65a0-46f8-a18c-a296431980f5</vt:lpwstr>
  </property>
  <property fmtid="{D5CDD505-2E9C-101B-9397-08002B2CF9AE}" pid="10" name="MSIP_Label_ff528e02-ab69-43a8-9134-6d8d1b0c706c_ActionId">
    <vt:lpwstr>b9a08fe7-4534-4b7e-9e04-db228c675b07</vt:lpwstr>
  </property>
  <property fmtid="{D5CDD505-2E9C-101B-9397-08002B2CF9AE}" pid="11" name="MSIP_Label_ff528e02-ab69-43a8-9134-6d8d1b0c706c_ContentBits">
    <vt:lpwstr>2</vt:lpwstr>
  </property>
  <property fmtid="{D5CDD505-2E9C-101B-9397-08002B2CF9AE}" pid="12" name="MSIP_Label_ff528e02-ab69-43a8-9134-6d8d1b0c706c_Tag">
    <vt:lpwstr>10, 3, 0, 1</vt:lpwstr>
  </property>
</Properties>
</file>