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allansmith/FCSB Dropbox/Allan Smith/Receipts R1/RFS Ibiza &amp; Mallorca Property Search/Ibiza Properties - 2024/Ibiza Cala Moli Twin Villas August 2025/Cala Moli Proformas/"/>
    </mc:Choice>
  </mc:AlternateContent>
  <xr:revisionPtr revIDLastSave="0" documentId="13_ncr:1_{20F9FC85-92A3-4249-AB38-92C0F028B1F9}" xr6:coauthVersionLast="47" xr6:coauthVersionMax="47" xr10:uidLastSave="{00000000-0000-0000-0000-000000000000}"/>
  <bookViews>
    <workbookView xWindow="57160" yWindow="1700" windowWidth="30300" windowHeight="18400" activeTab="1" xr2:uid="{00000000-000D-0000-FFFF-FFFF00000000}"/>
  </bookViews>
  <sheets>
    <sheet name="Overview" sheetId="1" r:id="rId1"/>
    <sheet name="Annual CFs" sheetId="2" r:id="rId2"/>
    <sheet name="Sensitivities" sheetId="3" r:id="rId3"/>
    <sheet name="Index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7" i="3"/>
  <c r="C26" i="3" s="1"/>
  <c r="C25" i="3" s="1"/>
  <c r="C17" i="3"/>
  <c r="C37" i="3" s="1"/>
  <c r="C47" i="3" s="1"/>
  <c r="F14" i="3"/>
  <c r="G14" i="3" s="1"/>
  <c r="F8" i="3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F6" i="3"/>
  <c r="D41" i="2" s="1"/>
  <c r="D65" i="2"/>
  <c r="D62" i="2"/>
  <c r="D59" i="2"/>
  <c r="E44" i="2"/>
  <c r="D43" i="2"/>
  <c r="E42" i="2"/>
  <c r="E34" i="2"/>
  <c r="E16" i="2"/>
  <c r="G12" i="2"/>
  <c r="F12" i="2"/>
  <c r="E12" i="2"/>
  <c r="F10" i="2"/>
  <c r="F9" i="2"/>
  <c r="G9" i="2" s="1"/>
  <c r="H9" i="2" s="1"/>
  <c r="I9" i="2" s="1"/>
  <c r="J9" i="2" s="1"/>
  <c r="K9" i="2" s="1"/>
  <c r="L9" i="2" s="1"/>
  <c r="M9" i="2" s="1"/>
  <c r="N9" i="2" s="1"/>
  <c r="O9" i="2" s="1"/>
  <c r="B6" i="2"/>
  <c r="D45" i="2"/>
  <c r="L27" i="1"/>
  <c r="D44" i="2"/>
  <c r="E25" i="1"/>
  <c r="D42" i="2" s="1"/>
  <c r="M24" i="1"/>
  <c r="E31" i="2" s="1"/>
  <c r="F31" i="2" s="1"/>
  <c r="M23" i="1"/>
  <c r="E30" i="2" s="1"/>
  <c r="F30" i="2" s="1"/>
  <c r="M22" i="1"/>
  <c r="F19" i="1"/>
  <c r="F4" i="3" s="1"/>
  <c r="M9" i="1" s="1"/>
  <c r="F18" i="1"/>
  <c r="E18" i="1"/>
  <c r="D18" i="1"/>
  <c r="C18" i="1"/>
  <c r="L16" i="1"/>
  <c r="M16" i="1" s="1"/>
  <c r="E23" i="2" s="1"/>
  <c r="F23" i="2" s="1"/>
  <c r="B16" i="1"/>
  <c r="B15" i="1"/>
  <c r="B14" i="1"/>
  <c r="B13" i="1"/>
  <c r="L10" i="1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E33" i="1"/>
  <c r="E34" i="1" s="1"/>
  <c r="M32" i="1" s="1"/>
  <c r="L32" i="1" s="1"/>
  <c r="M26" i="1"/>
  <c r="M25" i="1"/>
  <c r="E15" i="2"/>
  <c r="L9" i="1"/>
  <c r="L11" i="1" s="1"/>
  <c r="M14" i="1"/>
  <c r="M11" i="1"/>
  <c r="E29" i="2"/>
  <c r="D46" i="2"/>
  <c r="D53" i="2" s="1"/>
  <c r="F62" i="2"/>
  <c r="F60" i="2"/>
  <c r="F66" i="2" s="1"/>
  <c r="F44" i="2"/>
  <c r="F42" i="2"/>
  <c r="F45" i="2"/>
  <c r="F43" i="2"/>
  <c r="F41" i="2"/>
  <c r="F49" i="2"/>
  <c r="G45" i="2"/>
  <c r="G43" i="2"/>
  <c r="G41" i="2"/>
  <c r="G49" i="2"/>
  <c r="H12" i="2"/>
  <c r="G62" i="2"/>
  <c r="G60" i="2"/>
  <c r="G66" i="2" s="1"/>
  <c r="G44" i="2"/>
  <c r="G42" i="2"/>
  <c r="G34" i="3"/>
  <c r="G44" i="3" s="1"/>
  <c r="G24" i="3" s="1"/>
  <c r="H14" i="3"/>
  <c r="H34" i="3" s="1"/>
  <c r="H44" i="3" s="1"/>
  <c r="H24" i="3" s="1"/>
  <c r="G10" i="2"/>
  <c r="H10" i="2" s="1"/>
  <c r="I10" i="2" s="1"/>
  <c r="J10" i="2" s="1"/>
  <c r="K10" i="2" s="1"/>
  <c r="L10" i="2" s="1"/>
  <c r="M10" i="2" s="1"/>
  <c r="N10" i="2" s="1"/>
  <c r="O10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E49" i="2"/>
  <c r="E41" i="2"/>
  <c r="E43" i="2"/>
  <c r="E45" i="2"/>
  <c r="C28" i="3"/>
  <c r="C29" i="3" s="1"/>
  <c r="C18" i="3"/>
  <c r="F34" i="3"/>
  <c r="F44" i="3" s="1"/>
  <c r="F24" i="3" s="1"/>
  <c r="E29" i="1"/>
  <c r="E14" i="3"/>
  <c r="E60" i="2"/>
  <c r="E66" i="2" s="1"/>
  <c r="E62" i="2"/>
  <c r="C16" i="3"/>
  <c r="G61" i="2" l="1"/>
  <c r="E35" i="1"/>
  <c r="F61" i="2"/>
  <c r="D61" i="2"/>
  <c r="E61" i="2"/>
  <c r="D60" i="2"/>
  <c r="D66" i="2" s="1"/>
  <c r="E46" i="2"/>
  <c r="E21" i="2"/>
  <c r="L14" i="1"/>
  <c r="F29" i="2"/>
  <c r="M15" i="1"/>
  <c r="C36" i="3"/>
  <c r="C46" i="3" s="1"/>
  <c r="C15" i="3"/>
  <c r="C35" i="3" s="1"/>
  <c r="C45" i="3" s="1"/>
  <c r="H61" i="2"/>
  <c r="H45" i="2"/>
  <c r="H43" i="2"/>
  <c r="H41" i="2"/>
  <c r="H49" i="2"/>
  <c r="H62" i="2"/>
  <c r="H60" i="2"/>
  <c r="H66" i="2" s="1"/>
  <c r="H44" i="2"/>
  <c r="H42" i="2"/>
  <c r="I12" i="2"/>
  <c r="F50" i="2"/>
  <c r="F51" i="2" s="1"/>
  <c r="F15" i="2"/>
  <c r="E17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L25" i="1"/>
  <c r="C19" i="3"/>
  <c r="C39" i="3" s="1"/>
  <c r="C49" i="3" s="1"/>
  <c r="C38" i="3"/>
  <c r="C48" i="3" s="1"/>
  <c r="G50" i="2"/>
  <c r="G51" i="2" s="1"/>
  <c r="G46" i="2"/>
  <c r="G31" i="2"/>
  <c r="H31" i="2" s="1"/>
  <c r="I31" i="2" s="1"/>
  <c r="J31" i="2" s="1"/>
  <c r="K31" i="2" s="1"/>
  <c r="L31" i="2" s="1"/>
  <c r="M31" i="2" s="1"/>
  <c r="N31" i="2" s="1"/>
  <c r="O31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L26" i="1"/>
  <c r="F46" i="2"/>
  <c r="D14" i="3"/>
  <c r="D34" i="3" s="1"/>
  <c r="D44" i="3" s="1"/>
  <c r="D24" i="3" s="1"/>
  <c r="E34" i="3"/>
  <c r="E44" i="3" s="1"/>
  <c r="E24" i="3" s="1"/>
  <c r="E39" i="1"/>
  <c r="G30" i="2"/>
  <c r="H30" i="2" s="1"/>
  <c r="I30" i="2" s="1"/>
  <c r="J30" i="2" s="1"/>
  <c r="K30" i="2" s="1"/>
  <c r="L30" i="2" s="1"/>
  <c r="M30" i="2" s="1"/>
  <c r="N30" i="2" s="1"/>
  <c r="O30" i="2" s="1"/>
  <c r="G23" i="2"/>
  <c r="H23" i="2" s="1"/>
  <c r="I23" i="2" s="1"/>
  <c r="J23" i="2" s="1"/>
  <c r="K23" i="2" s="1"/>
  <c r="L23" i="2" s="1"/>
  <c r="M23" i="2" s="1"/>
  <c r="N23" i="2" s="1"/>
  <c r="O23" i="2" s="1"/>
  <c r="E50" i="2"/>
  <c r="E51" i="2" s="1"/>
  <c r="M36" i="1"/>
  <c r="M28" i="1"/>
  <c r="D63" i="2" l="1"/>
  <c r="E59" i="2" s="1"/>
  <c r="E63" i="2" s="1"/>
  <c r="F59" i="2" s="1"/>
  <c r="D68" i="2"/>
  <c r="H46" i="2"/>
  <c r="E35" i="2"/>
  <c r="E18" i="2"/>
  <c r="G15" i="2"/>
  <c r="F17" i="2"/>
  <c r="H50" i="2"/>
  <c r="H51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L15" i="1"/>
  <c r="L17" i="1" s="1"/>
  <c r="L19" i="1" s="1"/>
  <c r="M17" i="1"/>
  <c r="M19" i="1" s="1"/>
  <c r="M30" i="1" s="1"/>
  <c r="G29" i="2"/>
  <c r="F35" i="2"/>
  <c r="F21" i="2"/>
  <c r="L28" i="1"/>
  <c r="I45" i="2"/>
  <c r="I61" i="2"/>
  <c r="I43" i="2"/>
  <c r="I41" i="2"/>
  <c r="I49" i="2"/>
  <c r="J12" i="2"/>
  <c r="I62" i="2"/>
  <c r="I60" i="2"/>
  <c r="I66" i="2" s="1"/>
  <c r="I44" i="2"/>
  <c r="I42" i="2"/>
  <c r="F65" i="2" l="1"/>
  <c r="F63" i="2"/>
  <c r="G59" i="2" s="1"/>
  <c r="E65" i="2"/>
  <c r="L30" i="1"/>
  <c r="L34" i="1" s="1"/>
  <c r="K22" i="3" s="1"/>
  <c r="E24" i="2"/>
  <c r="E26" i="2" s="1"/>
  <c r="E37" i="2" s="1"/>
  <c r="E38" i="2" s="1"/>
  <c r="G63" i="2"/>
  <c r="H59" i="2" s="1"/>
  <c r="G65" i="2"/>
  <c r="I50" i="2"/>
  <c r="I51" i="2" s="1"/>
  <c r="F24" i="2"/>
  <c r="F26" i="2" s="1"/>
  <c r="F37" i="2" s="1"/>
  <c r="G21" i="2"/>
  <c r="I46" i="2"/>
  <c r="F18" i="2"/>
  <c r="G35" i="2"/>
  <c r="H29" i="2"/>
  <c r="G17" i="2"/>
  <c r="H15" i="2"/>
  <c r="M34" i="1"/>
  <c r="M37" i="1" s="1"/>
  <c r="M38" i="1"/>
  <c r="J61" i="2"/>
  <c r="J45" i="2"/>
  <c r="J43" i="2"/>
  <c r="J41" i="2"/>
  <c r="J49" i="2"/>
  <c r="J62" i="2"/>
  <c r="J60" i="2"/>
  <c r="J66" i="2" s="1"/>
  <c r="J44" i="2"/>
  <c r="J42" i="2"/>
  <c r="K12" i="2"/>
  <c r="K36" i="3" l="1"/>
  <c r="K8" i="3"/>
  <c r="K23" i="3"/>
  <c r="K30" i="3"/>
  <c r="K10" i="3"/>
  <c r="K42" i="3"/>
  <c r="K26" i="3"/>
  <c r="K24" i="3"/>
  <c r="K39" i="3"/>
  <c r="K43" i="3"/>
  <c r="K12" i="3"/>
  <c r="K45" i="3"/>
  <c r="K25" i="3"/>
  <c r="K46" i="3"/>
  <c r="K16" i="3"/>
  <c r="K37" i="3"/>
  <c r="K6" i="3"/>
  <c r="K31" i="3"/>
  <c r="K11" i="3"/>
  <c r="K29" i="3"/>
  <c r="K40" i="3"/>
  <c r="K17" i="3"/>
  <c r="K38" i="3"/>
  <c r="K18" i="3"/>
  <c r="K44" i="3"/>
  <c r="K33" i="3"/>
  <c r="K9" i="3"/>
  <c r="K20" i="3"/>
  <c r="K7" i="3"/>
  <c r="K32" i="3"/>
  <c r="K34" i="3"/>
  <c r="K13" i="3"/>
  <c r="K35" i="3"/>
  <c r="K15" i="3"/>
  <c r="K14" i="3"/>
  <c r="K49" i="3"/>
  <c r="K47" i="3"/>
  <c r="K41" i="3"/>
  <c r="K21" i="3"/>
  <c r="K5" i="3"/>
  <c r="K19" i="3"/>
  <c r="K27" i="3"/>
  <c r="K48" i="3"/>
  <c r="K28" i="3"/>
  <c r="E53" i="2"/>
  <c r="E68" i="2" s="1"/>
  <c r="F38" i="2"/>
  <c r="F53" i="2"/>
  <c r="F68" i="2" s="1"/>
  <c r="G24" i="2"/>
  <c r="G26" i="2" s="1"/>
  <c r="G37" i="2" s="1"/>
  <c r="H21" i="2"/>
  <c r="I15" i="2"/>
  <c r="H17" i="2"/>
  <c r="G18" i="2"/>
  <c r="C14" i="3"/>
  <c r="C24" i="3"/>
  <c r="J50" i="2"/>
  <c r="J51" i="2" s="1"/>
  <c r="J46" i="2"/>
  <c r="H63" i="2"/>
  <c r="I59" i="2" s="1"/>
  <c r="H65" i="2"/>
  <c r="H35" i="2"/>
  <c r="I29" i="2"/>
  <c r="K49" i="2"/>
  <c r="L12" i="2"/>
  <c r="K62" i="2"/>
  <c r="K60" i="2"/>
  <c r="K66" i="2" s="1"/>
  <c r="K44" i="2"/>
  <c r="K42" i="2"/>
  <c r="K61" i="2"/>
  <c r="K45" i="2"/>
  <c r="K43" i="2"/>
  <c r="K41" i="2"/>
  <c r="E69" i="2" l="1"/>
  <c r="G38" i="2"/>
  <c r="G53" i="2"/>
  <c r="K46" i="2"/>
  <c r="I63" i="2"/>
  <c r="J59" i="2" s="1"/>
  <c r="I65" i="2"/>
  <c r="H18" i="2"/>
  <c r="I17" i="2"/>
  <c r="J15" i="2"/>
  <c r="H24" i="2"/>
  <c r="H26" i="2" s="1"/>
  <c r="H37" i="2" s="1"/>
  <c r="I21" i="2"/>
  <c r="L62" i="2"/>
  <c r="L60" i="2"/>
  <c r="L66" i="2" s="1"/>
  <c r="L44" i="2"/>
  <c r="L42" i="2"/>
  <c r="L61" i="2"/>
  <c r="L45" i="2"/>
  <c r="L43" i="2"/>
  <c r="L41" i="2"/>
  <c r="L49" i="2"/>
  <c r="M12" i="2"/>
  <c r="K50" i="2"/>
  <c r="K51" i="2" s="1"/>
  <c r="F69" i="2"/>
  <c r="I35" i="2"/>
  <c r="J29" i="2"/>
  <c r="H38" i="2" l="1"/>
  <c r="H53" i="2"/>
  <c r="H68" i="2" s="1"/>
  <c r="J63" i="2"/>
  <c r="K59" i="2" s="1"/>
  <c r="J65" i="2"/>
  <c r="I24" i="2"/>
  <c r="I26" i="2" s="1"/>
  <c r="I37" i="2" s="1"/>
  <c r="J21" i="2"/>
  <c r="G68" i="2"/>
  <c r="K15" i="2"/>
  <c r="J17" i="2"/>
  <c r="M62" i="2"/>
  <c r="M60" i="2"/>
  <c r="M66" i="2" s="1"/>
  <c r="M44" i="2"/>
  <c r="M42" i="2"/>
  <c r="M61" i="2"/>
  <c r="M45" i="2"/>
  <c r="M43" i="2"/>
  <c r="M41" i="2"/>
  <c r="M49" i="2"/>
  <c r="N12" i="2"/>
  <c r="I18" i="2"/>
  <c r="L50" i="2"/>
  <c r="L51" i="2" s="1"/>
  <c r="L46" i="2"/>
  <c r="J35" i="2"/>
  <c r="K29" i="2"/>
  <c r="M46" i="2" l="1"/>
  <c r="M50" i="2"/>
  <c r="M51" i="2" s="1"/>
  <c r="K35" i="2"/>
  <c r="L29" i="2"/>
  <c r="G69" i="2"/>
  <c r="J24" i="2"/>
  <c r="J26" i="2" s="1"/>
  <c r="J37" i="2" s="1"/>
  <c r="K21" i="2"/>
  <c r="J18" i="2"/>
  <c r="K17" i="2"/>
  <c r="L15" i="2"/>
  <c r="K63" i="2"/>
  <c r="L59" i="2" s="1"/>
  <c r="K65" i="2"/>
  <c r="I38" i="2"/>
  <c r="I53" i="2"/>
  <c r="H69" i="2"/>
  <c r="N60" i="2"/>
  <c r="N66" i="2" s="1"/>
  <c r="N44" i="2"/>
  <c r="N42" i="2"/>
  <c r="N61" i="2"/>
  <c r="N45" i="2"/>
  <c r="N43" i="2"/>
  <c r="N41" i="2"/>
  <c r="N49" i="2"/>
  <c r="O12" i="2"/>
  <c r="N50" i="2" l="1"/>
  <c r="N51" i="2" s="1"/>
  <c r="N46" i="2"/>
  <c r="K18" i="2"/>
  <c r="O53" i="2"/>
  <c r="O61" i="2"/>
  <c r="O45" i="2"/>
  <c r="O43" i="2"/>
  <c r="O41" i="2"/>
  <c r="O49" i="2"/>
  <c r="O62" i="2"/>
  <c r="O60" i="2"/>
  <c r="O66" i="2" s="1"/>
  <c r="O44" i="2"/>
  <c r="O42" i="2"/>
  <c r="L63" i="2"/>
  <c r="M59" i="2" s="1"/>
  <c r="L65" i="2"/>
  <c r="L35" i="2"/>
  <c r="M29" i="2"/>
  <c r="M15" i="2"/>
  <c r="L17" i="2"/>
  <c r="J38" i="2"/>
  <c r="J53" i="2"/>
  <c r="J68" i="2" s="1"/>
  <c r="I68" i="2"/>
  <c r="K24" i="2"/>
  <c r="K26" i="2" s="1"/>
  <c r="K37" i="2" s="1"/>
  <c r="L21" i="2"/>
  <c r="J69" i="2" l="1"/>
  <c r="O46" i="2"/>
  <c r="K38" i="2"/>
  <c r="K53" i="2"/>
  <c r="L18" i="2"/>
  <c r="L24" i="2"/>
  <c r="L26" i="2" s="1"/>
  <c r="L37" i="2" s="1"/>
  <c r="M21" i="2"/>
  <c r="N29" i="2"/>
  <c r="M35" i="2"/>
  <c r="N15" i="2"/>
  <c r="M17" i="2"/>
  <c r="O50" i="2"/>
  <c r="O51" i="2"/>
  <c r="I69" i="2"/>
  <c r="M63" i="2"/>
  <c r="N59" i="2" s="1"/>
  <c r="M65" i="2"/>
  <c r="L38" i="2" l="1"/>
  <c r="L53" i="2"/>
  <c r="L68" i="2" s="1"/>
  <c r="M24" i="2"/>
  <c r="M26" i="2" s="1"/>
  <c r="M37" i="2" s="1"/>
  <c r="N21" i="2"/>
  <c r="M18" i="2"/>
  <c r="O29" i="2"/>
  <c r="O35" i="2" s="1"/>
  <c r="N35" i="2"/>
  <c r="N62" i="2"/>
  <c r="N63" i="2" s="1"/>
  <c r="O59" i="2" s="1"/>
  <c r="N65" i="2"/>
  <c r="O15" i="2"/>
  <c r="O17" i="2" s="1"/>
  <c r="N17" i="2"/>
  <c r="K68" i="2"/>
  <c r="L69" i="2" l="1"/>
  <c r="O63" i="2"/>
  <c r="O65" i="2"/>
  <c r="O68" i="2" s="1"/>
  <c r="O18" i="2"/>
  <c r="N24" i="2"/>
  <c r="N26" i="2" s="1"/>
  <c r="N37" i="2" s="1"/>
  <c r="O21" i="2"/>
  <c r="O24" i="2" s="1"/>
  <c r="O26" i="2" s="1"/>
  <c r="O37" i="2" s="1"/>
  <c r="O38" i="2" s="1"/>
  <c r="M38" i="2"/>
  <c r="M53" i="2"/>
  <c r="M68" i="2" s="1"/>
  <c r="M69" i="2" s="1"/>
  <c r="N18" i="2"/>
  <c r="K69" i="2"/>
  <c r="N38" i="2" l="1"/>
  <c r="N53" i="2"/>
  <c r="N68" i="2" l="1"/>
  <c r="C55" i="2"/>
  <c r="C56" i="2"/>
  <c r="C57" i="2"/>
  <c r="C34" i="3" l="1"/>
  <c r="N69" i="2"/>
  <c r="C73" i="2"/>
  <c r="C72" i="2"/>
  <c r="C71" i="2"/>
  <c r="C44" i="3" s="1"/>
  <c r="O69" i="2"/>
</calcChain>
</file>

<file path=xl/sharedStrings.xml><?xml version="1.0" encoding="utf-8"?>
<sst xmlns="http://schemas.openxmlformats.org/spreadsheetml/2006/main" count="247" uniqueCount="193">
  <si>
    <t>Property Details</t>
  </si>
  <si>
    <t>Year 1 Economics</t>
  </si>
  <si>
    <t>Address</t>
  </si>
  <si>
    <t>% of Rental Income</t>
  </si>
  <si>
    <t>Monthly</t>
  </si>
  <si>
    <t>Annually</t>
  </si>
  <si>
    <t>Notes</t>
  </si>
  <si>
    <t>Listing</t>
  </si>
  <si>
    <t xml:space="preserve"> </t>
  </si>
  <si>
    <t>Regulation</t>
  </si>
  <si>
    <t>Revenue</t>
  </si>
  <si>
    <t>Permit Info</t>
  </si>
  <si>
    <t>Rental Income</t>
  </si>
  <si>
    <t>Other Income</t>
  </si>
  <si>
    <t>Total Revenue</t>
  </si>
  <si>
    <t>Unit Type</t>
  </si>
  <si>
    <t># Bedrooms</t>
  </si>
  <si>
    <t># Bathrooms</t>
  </si>
  <si>
    <t>Quantity</t>
  </si>
  <si>
    <t>RevPAN</t>
  </si>
  <si>
    <t>Comparables</t>
  </si>
  <si>
    <t>Expenses</t>
  </si>
  <si>
    <t>Channel Fee</t>
  </si>
  <si>
    <t>Property Management Fee</t>
  </si>
  <si>
    <t>Supplies Fee</t>
  </si>
  <si>
    <t>See Index tab</t>
  </si>
  <si>
    <t>Total Expenses</t>
  </si>
  <si>
    <t>Total</t>
  </si>
  <si>
    <t>Weighted Average</t>
  </si>
  <si>
    <t>Other Expenses</t>
  </si>
  <si>
    <t>Initial Investment</t>
  </si>
  <si>
    <t>Real Estate Taxes</t>
  </si>
  <si>
    <t>%</t>
  </si>
  <si>
    <t>Insurance</t>
  </si>
  <si>
    <t>Purchase Price</t>
  </si>
  <si>
    <t>HOA Fees</t>
  </si>
  <si>
    <t>Closing Costs</t>
  </si>
  <si>
    <t>Utilities</t>
  </si>
  <si>
    <t>Immediate Repairs</t>
  </si>
  <si>
    <t>Due diligence required</t>
  </si>
  <si>
    <t>Maintenance</t>
  </si>
  <si>
    <t>Furnishing Costs</t>
  </si>
  <si>
    <t>Other Ongoing Expenses</t>
  </si>
  <si>
    <t>Other Initial Expenses</t>
  </si>
  <si>
    <t>Tech install, photos, cleaning, etc.</t>
  </si>
  <si>
    <t>Total Initial Investment</t>
  </si>
  <si>
    <t>Net Operating Income</t>
  </si>
  <si>
    <t>Financing Assumptions</t>
  </si>
  <si>
    <t>Loan Payment</t>
  </si>
  <si>
    <t>Down Payment</t>
  </si>
  <si>
    <t>Investor-specific</t>
  </si>
  <si>
    <t>Loan Amount</t>
  </si>
  <si>
    <t>Leveraged Net Cash Flow</t>
  </si>
  <si>
    <t>Loan Closing Costs</t>
  </si>
  <si>
    <t>Deal-specific</t>
  </si>
  <si>
    <t>Interest Rate</t>
  </si>
  <si>
    <t>Gross Yield</t>
  </si>
  <si>
    <t>Interest Type</t>
  </si>
  <si>
    <t>Cash-on-Cash</t>
  </si>
  <si>
    <t>Amortization (yrs)</t>
  </si>
  <si>
    <t>Cap Rate</t>
  </si>
  <si>
    <t>Upfront Costs</t>
  </si>
  <si>
    <t>Disposition Assumptions</t>
  </si>
  <si>
    <t>Disposition Year</t>
  </si>
  <si>
    <t>Disposition Expenses</t>
  </si>
  <si>
    <t>Valuation Method</t>
  </si>
  <si>
    <t>Appreciation</t>
  </si>
  <si>
    <t>Inflation Assumptions</t>
  </si>
  <si>
    <t>Revenue Inflation</t>
  </si>
  <si>
    <t>Expense Inflation</t>
  </si>
  <si>
    <t>Supplies Fees</t>
  </si>
  <si>
    <t>Property-Level Yield-on-Cost</t>
  </si>
  <si>
    <t>Disposition</t>
  </si>
  <si>
    <t>Disposition Proceeds</t>
  </si>
  <si>
    <t>Net Disposition Proceeds</t>
  </si>
  <si>
    <t>Unleveraged Net Cash Flow</t>
  </si>
  <si>
    <t>Unleveraged IRR</t>
  </si>
  <si>
    <t>Unleveraged Profits</t>
  </si>
  <si>
    <t>Unleveraged Multiple</t>
  </si>
  <si>
    <t>Loan Balance Beginning of Period</t>
  </si>
  <si>
    <t>Loan Funded</t>
  </si>
  <si>
    <t>Principal Repayment</t>
  </si>
  <si>
    <t>Oustanding Balance Repayment</t>
  </si>
  <si>
    <t>Loan Balance End of Period</t>
  </si>
  <si>
    <t>Interest Payment</t>
  </si>
  <si>
    <t>Loan Origination Fees</t>
  </si>
  <si>
    <t>Leveraged IRR</t>
  </si>
  <si>
    <t>Leveraged Profits</t>
  </si>
  <si>
    <t>Leveraged Multiple</t>
  </si>
  <si>
    <t>Sensitivity Analysis</t>
  </si>
  <si>
    <t>Cummulative CoC Return</t>
  </si>
  <si>
    <t>Weighted Average RevPAN (enter value in cell F4)</t>
  </si>
  <si>
    <t>---&gt;</t>
  </si>
  <si>
    <t>Month</t>
  </si>
  <si>
    <t>CoC</t>
  </si>
  <si>
    <t>Weighted Average RevPAN Increments</t>
  </si>
  <si>
    <t>Purchase Price (enter value in cell F6)</t>
  </si>
  <si>
    <t>Purchase Price Increments</t>
  </si>
  <si>
    <t>Immediate Repairs (enter value in cell F8)</t>
  </si>
  <si>
    <t>Immediate Repairs Increments</t>
  </si>
  <si>
    <t>Year 1 Cash-on-Cash Return</t>
  </si>
  <si>
    <t>Weighted Average RevPAN</t>
  </si>
  <si>
    <t>Unleveraged IRR / Profits</t>
  </si>
  <si>
    <t>11.0% / $212k</t>
  </si>
  <si>
    <t>11.6% / $225k</t>
  </si>
  <si>
    <t>12.3% / $237k</t>
  </si>
  <si>
    <t>12.9% / $250k</t>
  </si>
  <si>
    <t>13.5% / $263k</t>
  </si>
  <si>
    <t>11.1% / $212k</t>
  </si>
  <si>
    <t>11.8% / $224k</t>
  </si>
  <si>
    <t>12.4% / $237k</t>
  </si>
  <si>
    <t>13.1% / $250k</t>
  </si>
  <si>
    <t>13.7% / $262k</t>
  </si>
  <si>
    <t>11.3% / $211k</t>
  </si>
  <si>
    <t>11.9% / $224k</t>
  </si>
  <si>
    <t>12.6% / $236k</t>
  </si>
  <si>
    <t>13.2% / $249k</t>
  </si>
  <si>
    <t>13.9% / $262k</t>
  </si>
  <si>
    <t>11.4% / $211k</t>
  </si>
  <si>
    <t>12.1% / $223k</t>
  </si>
  <si>
    <t>12.7% / $236k</t>
  </si>
  <si>
    <t>13.4% / $249k</t>
  </si>
  <si>
    <t>14.1% / $261k</t>
  </si>
  <si>
    <t>11.5% / $210k</t>
  </si>
  <si>
    <t>12.2% / $223k</t>
  </si>
  <si>
    <t>12.9% / $236k</t>
  </si>
  <si>
    <t>13.6% / $248k</t>
  </si>
  <si>
    <t>14.2% / $261k</t>
  </si>
  <si>
    <t>Leveraged IRR / Profits</t>
  </si>
  <si>
    <t>18.4% / $128k</t>
  </si>
  <si>
    <t>20.3% / $141k</t>
  </si>
  <si>
    <t>22.1% / $153k</t>
  </si>
  <si>
    <t>24.0% / $166k</t>
  </si>
  <si>
    <t>25.8% / $178k</t>
  </si>
  <si>
    <t>18.8% / $129k</t>
  </si>
  <si>
    <t>20.6% / $141k</t>
  </si>
  <si>
    <t>22.5% / $154k</t>
  </si>
  <si>
    <t>24.4% / $167k</t>
  </si>
  <si>
    <t>26.2% / $179k</t>
  </si>
  <si>
    <t>19.1% / $130k</t>
  </si>
  <si>
    <t>21.0% / $142k</t>
  </si>
  <si>
    <t>22.9% / $155k</t>
  </si>
  <si>
    <t>24.8% / $168k</t>
  </si>
  <si>
    <t>26.7% / $180k</t>
  </si>
  <si>
    <t>19.5% / $131k</t>
  </si>
  <si>
    <t>21.4% / $143k</t>
  </si>
  <si>
    <t>23.3% / $156k</t>
  </si>
  <si>
    <t>25.2% / $168k</t>
  </si>
  <si>
    <t>27.1% / $181k</t>
  </si>
  <si>
    <t>19.9% / $131k</t>
  </si>
  <si>
    <t>21.8% / $144k</t>
  </si>
  <si>
    <t>23.7% / $157k</t>
  </si>
  <si>
    <t>25.7% / $169k</t>
  </si>
  <si>
    <t>27.6% / $182k</t>
  </si>
  <si>
    <t>Bedrooms/Bathrooms</t>
  </si>
  <si>
    <t>0/1</t>
  </si>
  <si>
    <t>1/1</t>
  </si>
  <si>
    <t>2/1</t>
  </si>
  <si>
    <t>2/1.5</t>
  </si>
  <si>
    <t>2/2</t>
  </si>
  <si>
    <t>2/2.5</t>
  </si>
  <si>
    <t>3/1</t>
  </si>
  <si>
    <t>3/1.5</t>
  </si>
  <si>
    <t>3/2</t>
  </si>
  <si>
    <t>3/2.5</t>
  </si>
  <si>
    <t>3/3</t>
  </si>
  <si>
    <t>3/3.5</t>
  </si>
  <si>
    <t>4/1</t>
  </si>
  <si>
    <t>4/2</t>
  </si>
  <si>
    <t>4/2.5</t>
  </si>
  <si>
    <t>4/3</t>
  </si>
  <si>
    <t>4/3.5</t>
  </si>
  <si>
    <t>4/4</t>
  </si>
  <si>
    <t>5/1</t>
  </si>
  <si>
    <t>5/2</t>
  </si>
  <si>
    <t>5/3</t>
  </si>
  <si>
    <t>5/4</t>
  </si>
  <si>
    <t>5/5</t>
  </si>
  <si>
    <t>Bedrooms</t>
  </si>
  <si>
    <t>Furnishing Expense</t>
  </si>
  <si>
    <t>Cala Molí, Saint Joseph da Sa Talaia, Ibiza</t>
  </si>
  <si>
    <t>Island Register of Touristic Activity of Ibiza</t>
  </si>
  <si>
    <t>File 344/2015-0604 1st August 2016</t>
  </si>
  <si>
    <t>€</t>
  </si>
  <si>
    <t>Net Payout</t>
  </si>
  <si>
    <t>10 YEAR HOLD PERIOD SCENARIO</t>
  </si>
  <si>
    <t>Data from Tax Department Baleric Government</t>
  </si>
  <si>
    <t>Quotation from Axa Insurance</t>
  </si>
  <si>
    <t>N/A</t>
  </si>
  <si>
    <t>Estimation minor expenses</t>
  </si>
  <si>
    <t xml:space="preserve">Historical data provided by Le Exclusif Real Estate </t>
  </si>
  <si>
    <t>Historical data provided by Le Exclusif Real Estate</t>
  </si>
  <si>
    <t>Interest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</si>
</sst>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&quot;$&quot;#,##0_);[Red]\(&quot;$&quot;#,##0\)"/>
    <numFmt numFmtId="165" formatCode="&quot;$&quot;#,##0"/>
    <numFmt numFmtId="166" formatCode="&quot;Year&quot;\ 0"/>
    <numFmt numFmtId="167" formatCode="0.00\x"/>
    <numFmt numFmtId="168" formatCode="0.0%"/>
    <numFmt numFmtId="169" formatCode="#,##0.00\ [$€-80C]"/>
    <numFmt numFmtId="170" formatCode="#,##0\ [$€-816]"/>
    <numFmt numFmtId="171" formatCode="#,##0\ [$€-425]"/>
    <numFmt numFmtId="172" formatCode="#,##0\ [$€-301A]"/>
    <numFmt numFmtId="173" formatCode="#,##0.00\ [$€-407]"/>
    <numFmt numFmtId="174" formatCode="#,##0\ [$€-42D]"/>
    <numFmt numFmtId="175" formatCode="#,##0.00\ [$€-1007]"/>
    <numFmt numFmtId="176" formatCode="#,##0.00\ [$€-403]"/>
    <numFmt numFmtId="177" formatCode="#,##0\ [$€-403]"/>
    <numFmt numFmtId="178" formatCode="#,##0.00\ [$€-816]"/>
    <numFmt numFmtId="179" formatCode="#,##0.00\ [$€-47E]"/>
    <numFmt numFmtId="180" formatCode="#,##0.00\ [$€-426]"/>
    <numFmt numFmtId="181" formatCode="#,##0.00\ [$€-243B]"/>
    <numFmt numFmtId="182" formatCode="#,##0.00\ [$€-408]"/>
    <numFmt numFmtId="183" formatCode="#,##0\ [$€-200C]"/>
  </numFmts>
  <fonts count="28">
    <font>
      <sz val="12"/>
      <color theme="1"/>
      <name val="Calibri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Lato"/>
    </font>
    <font>
      <b/>
      <sz val="10"/>
      <color theme="1"/>
      <name val="Lato"/>
    </font>
    <font>
      <sz val="10"/>
      <color theme="1"/>
      <name val="Sora"/>
    </font>
    <font>
      <sz val="12"/>
      <name val="Calibri"/>
      <family val="2"/>
    </font>
    <font>
      <i/>
      <sz val="10"/>
      <color theme="1"/>
      <name val="Lato"/>
    </font>
    <font>
      <b/>
      <sz val="10"/>
      <color theme="0"/>
      <name val="Arial"/>
      <family val="2"/>
    </font>
    <font>
      <b/>
      <sz val="10"/>
      <color theme="0"/>
      <name val="Sora"/>
    </font>
    <font>
      <sz val="10"/>
      <color theme="1"/>
      <name val="Lato"/>
    </font>
    <font>
      <u/>
      <sz val="10"/>
      <color rgb="FF0000FF"/>
      <name val="Lato"/>
    </font>
    <font>
      <b/>
      <u/>
      <sz val="10"/>
      <color theme="1"/>
      <name val="Lato"/>
    </font>
    <font>
      <u/>
      <sz val="10"/>
      <color theme="10"/>
      <name val="Arial"/>
      <family val="2"/>
    </font>
    <font>
      <i/>
      <sz val="9"/>
      <color theme="1"/>
      <name val="Lato"/>
    </font>
    <font>
      <sz val="10"/>
      <color rgb="FF0000FF"/>
      <name val="Lato"/>
    </font>
    <font>
      <b/>
      <sz val="10"/>
      <color theme="1"/>
      <name val="Arial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sz val="12"/>
      <color theme="1"/>
      <name val="Calibri"/>
      <family val="2"/>
    </font>
    <font>
      <sz val="10"/>
      <color rgb="FF0000FF"/>
      <name val="Arial"/>
      <family val="2"/>
    </font>
    <font>
      <u/>
      <sz val="10"/>
      <color theme="10"/>
      <name val="Calibri"/>
      <family val="2"/>
    </font>
    <font>
      <b/>
      <u/>
      <sz val="10"/>
      <color theme="1"/>
      <name val="Lato"/>
    </font>
    <font>
      <sz val="12"/>
      <color theme="1"/>
      <name val="Lato"/>
    </font>
    <font>
      <b/>
      <sz val="10"/>
      <color theme="1"/>
      <name val="Sora"/>
    </font>
    <font>
      <b/>
      <sz val="10"/>
      <color theme="0"/>
      <name val="Lato"/>
    </font>
    <font>
      <b/>
      <sz val="10"/>
      <color rgb="FFFFFFCC"/>
      <name val="Lato"/>
    </font>
    <font>
      <sz val="10"/>
      <color rgb="FF666666"/>
      <name val="Lato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00955"/>
        <bgColor rgb="FF20095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D8D8D8"/>
      </left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 style="hair">
        <color rgb="FFD8D8D8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D8D8D8"/>
      </left>
      <right/>
      <top/>
      <bottom/>
      <diagonal/>
    </border>
    <border>
      <left style="hair">
        <color rgb="FFD8D8D8"/>
      </left>
      <right style="hair">
        <color rgb="FFD8D8D8"/>
      </right>
      <top style="hair">
        <color rgb="FFD8D8D8"/>
      </top>
      <bottom style="hair">
        <color rgb="FFD8D8D8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hair">
        <color rgb="FFD8D8D8"/>
      </left>
      <right style="hair">
        <color rgb="FFD8D8D8"/>
      </right>
      <top style="hair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3" fontId="15" fillId="5" borderId="13" xfId="0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" fontId="10" fillId="0" borderId="14" xfId="0" applyNumberFormat="1" applyFont="1" applyBorder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5" fillId="5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" fontId="1" fillId="0" borderId="14" xfId="0" applyNumberFormat="1" applyFont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10" fillId="0" borderId="0" xfId="0" applyNumberFormat="1" applyFont="1" applyAlignment="1">
      <alignment vertical="center"/>
    </xf>
    <xf numFmtId="10" fontId="10" fillId="5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9" fontId="10" fillId="5" borderId="15" xfId="0" applyNumberFormat="1" applyFont="1" applyFill="1" applyBorder="1" applyAlignment="1">
      <alignment horizontal="center" vertical="center"/>
    </xf>
    <xf numFmtId="10" fontId="10" fillId="5" borderId="20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0" xfId="0" applyFont="1"/>
    <xf numFmtId="10" fontId="15" fillId="5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0" fontId="5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7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4" fillId="2" borderId="4" xfId="0" applyFont="1" applyFill="1" applyBorder="1"/>
    <xf numFmtId="165" fontId="4" fillId="2" borderId="4" xfId="0" applyNumberFormat="1" applyFont="1" applyFill="1" applyBorder="1" applyAlignment="1">
      <alignment horizontal="center"/>
    </xf>
    <xf numFmtId="0" fontId="16" fillId="0" borderId="0" xfId="0" applyFont="1"/>
    <xf numFmtId="10" fontId="4" fillId="2" borderId="4" xfId="0" applyNumberFormat="1" applyFont="1" applyFill="1" applyBorder="1"/>
    <xf numFmtId="167" fontId="4" fillId="2" borderId="4" xfId="0" applyNumberFormat="1" applyFont="1" applyFill="1" applyBorder="1"/>
    <xf numFmtId="3" fontId="10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center"/>
    </xf>
    <xf numFmtId="0" fontId="19" fillId="0" borderId="0" xfId="0" applyFont="1"/>
    <xf numFmtId="0" fontId="23" fillId="0" borderId="0" xfId="0" applyFont="1"/>
    <xf numFmtId="0" fontId="23" fillId="0" borderId="0" xfId="0" quotePrefix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horizontal="center"/>
    </xf>
    <xf numFmtId="165" fontId="8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 vertical="center"/>
    </xf>
    <xf numFmtId="10" fontId="10" fillId="6" borderId="4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left"/>
    </xf>
    <xf numFmtId="0" fontId="10" fillId="2" borderId="4" xfId="0" applyFont="1" applyFill="1" applyBorder="1"/>
    <xf numFmtId="0" fontId="4" fillId="2" borderId="4" xfId="0" applyFont="1" applyFill="1" applyBorder="1" applyAlignment="1">
      <alignment horizontal="center"/>
    </xf>
    <xf numFmtId="165" fontId="26" fillId="4" borderId="4" xfId="0" applyNumberFormat="1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" fontId="27" fillId="0" borderId="0" xfId="0" quotePrefix="1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wrapText="1"/>
    </xf>
    <xf numFmtId="0" fontId="27" fillId="0" borderId="0" xfId="0" quotePrefix="1" applyFont="1" applyAlignment="1">
      <alignment horizontal="center" wrapText="1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9" fontId="15" fillId="5" borderId="15" xfId="0" applyNumberFormat="1" applyFont="1" applyFill="1" applyBorder="1" applyAlignment="1">
      <alignment horizontal="center" vertical="center"/>
    </xf>
    <xf numFmtId="169" fontId="20" fillId="5" borderId="15" xfId="0" applyNumberFormat="1" applyFont="1" applyFill="1" applyBorder="1" applyAlignment="1">
      <alignment horizontal="center" vertical="center"/>
    </xf>
    <xf numFmtId="169" fontId="4" fillId="2" borderId="4" xfId="0" applyNumberFormat="1" applyFont="1" applyFill="1" applyBorder="1" applyAlignment="1">
      <alignment horizontal="center" vertical="center"/>
    </xf>
    <xf numFmtId="169" fontId="4" fillId="0" borderId="18" xfId="0" applyNumberFormat="1" applyFont="1" applyBorder="1" applyAlignment="1">
      <alignment horizontal="center" vertical="center"/>
    </xf>
    <xf numFmtId="170" fontId="10" fillId="5" borderId="15" xfId="0" applyNumberFormat="1" applyFont="1" applyFill="1" applyBorder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15" fillId="5" borderId="13" xfId="0" applyNumberFormat="1" applyFont="1" applyFill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174" fontId="10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175" fontId="4" fillId="2" borderId="4" xfId="0" applyNumberFormat="1" applyFont="1" applyFill="1" applyBorder="1" applyAlignment="1">
      <alignment horizontal="center" vertical="center"/>
    </xf>
    <xf numFmtId="175" fontId="1" fillId="0" borderId="0" xfId="0" applyNumberFormat="1" applyFont="1" applyAlignment="1">
      <alignment horizontal="center" vertical="center"/>
    </xf>
    <xf numFmtId="175" fontId="1" fillId="0" borderId="0" xfId="0" applyNumberFormat="1" applyFont="1" applyAlignment="1">
      <alignment vertical="center"/>
    </xf>
    <xf numFmtId="175" fontId="15" fillId="5" borderId="13" xfId="0" applyNumberFormat="1" applyFont="1" applyFill="1" applyBorder="1" applyAlignment="1">
      <alignment horizontal="center" vertical="center"/>
    </xf>
    <xf numFmtId="175" fontId="10" fillId="0" borderId="0" xfId="0" applyNumberFormat="1" applyFont="1" applyAlignment="1">
      <alignment horizontal="center" vertical="center"/>
    </xf>
    <xf numFmtId="175" fontId="4" fillId="0" borderId="0" xfId="0" applyNumberFormat="1" applyFont="1" applyAlignment="1">
      <alignment horizontal="center" vertical="center"/>
    </xf>
    <xf numFmtId="175" fontId="10" fillId="0" borderId="0" xfId="0" applyNumberFormat="1" applyFont="1" applyAlignment="1">
      <alignment vertical="center"/>
    </xf>
    <xf numFmtId="176" fontId="10" fillId="5" borderId="15" xfId="0" applyNumberFormat="1" applyFont="1" applyFill="1" applyBorder="1" applyAlignment="1">
      <alignment horizontal="center"/>
    </xf>
    <xf numFmtId="177" fontId="10" fillId="5" borderId="15" xfId="0" applyNumberFormat="1" applyFont="1" applyFill="1" applyBorder="1" applyAlignment="1">
      <alignment horizontal="center"/>
    </xf>
    <xf numFmtId="178" fontId="10" fillId="0" borderId="0" xfId="0" applyNumberFormat="1" applyFont="1" applyAlignment="1">
      <alignment horizontal="center"/>
    </xf>
    <xf numFmtId="178" fontId="10" fillId="0" borderId="0" xfId="0" applyNumberFormat="1" applyFont="1"/>
    <xf numFmtId="178" fontId="23" fillId="0" borderId="0" xfId="0" applyNumberFormat="1" applyFont="1"/>
    <xf numFmtId="170" fontId="10" fillId="0" borderId="0" xfId="0" applyNumberFormat="1" applyFont="1" applyAlignment="1">
      <alignment horizontal="center"/>
    </xf>
    <xf numFmtId="179" fontId="10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180" fontId="10" fillId="0" borderId="0" xfId="0" applyNumberFormat="1" applyFont="1" applyAlignment="1">
      <alignment horizontal="center"/>
    </xf>
    <xf numFmtId="181" fontId="4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81" fontId="4" fillId="2" borderId="4" xfId="0" applyNumberFormat="1" applyFont="1" applyFill="1" applyBorder="1" applyAlignment="1">
      <alignment horizontal="center"/>
    </xf>
    <xf numFmtId="181" fontId="10" fillId="0" borderId="0" xfId="0" applyNumberFormat="1" applyFont="1" applyAlignment="1">
      <alignment horizontal="center"/>
    </xf>
    <xf numFmtId="182" fontId="10" fillId="0" borderId="0" xfId="0" applyNumberFormat="1" applyFont="1" applyAlignment="1">
      <alignment horizontal="center"/>
    </xf>
    <xf numFmtId="182" fontId="16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82" fontId="4" fillId="2" borderId="4" xfId="0" applyNumberFormat="1" applyFont="1" applyFill="1" applyBorder="1" applyAlignment="1">
      <alignment horizontal="center"/>
    </xf>
    <xf numFmtId="172" fontId="4" fillId="2" borderId="4" xfId="0" applyNumberFormat="1" applyFont="1" applyFill="1" applyBorder="1"/>
    <xf numFmtId="169" fontId="10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4" fillId="2" borderId="4" xfId="0" applyNumberFormat="1" applyFont="1" applyFill="1" applyBorder="1" applyAlignment="1">
      <alignment horizontal="center"/>
    </xf>
    <xf numFmtId="183" fontId="4" fillId="2" borderId="4" xfId="0" applyNumberFormat="1" applyFont="1" applyFill="1" applyBorder="1"/>
    <xf numFmtId="0" fontId="16" fillId="7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8" fillId="3" borderId="8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9" fillId="3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1" fillId="5" borderId="10" xfId="0" applyFont="1" applyFill="1" applyBorder="1" applyAlignment="1">
      <alignment horizontal="left" vertical="center"/>
    </xf>
    <xf numFmtId="0" fontId="19" fillId="0" borderId="11" xfId="0" applyFont="1" applyBorder="1"/>
    <xf numFmtId="0" fontId="19" fillId="0" borderId="12" xfId="0" applyFont="1" applyBorder="1"/>
    <xf numFmtId="0" fontId="24" fillId="2" borderId="8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right" vertical="center" textRotation="90"/>
    </xf>
    <xf numFmtId="0" fontId="6" fillId="0" borderId="22" xfId="0" applyFont="1" applyBorder="1"/>
    <xf numFmtId="0" fontId="6" fillId="0" borderId="23" xfId="0" applyFont="1" applyBorder="1"/>
    <xf numFmtId="0" fontId="9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topLeftCell="A8" zoomScale="130" zoomScaleNormal="130" workbookViewId="0">
      <selection activeCell="E37" sqref="E37"/>
    </sheetView>
  </sheetViews>
  <sheetFormatPr baseColWidth="10" defaultColWidth="11.1640625" defaultRowHeight="15" customHeight="1"/>
  <cols>
    <col min="1" max="1" width="7.5" customWidth="1"/>
    <col min="2" max="7" width="12.5" customWidth="1"/>
    <col min="8" max="8" width="7.5" customWidth="1"/>
    <col min="9" max="9" width="25" customWidth="1"/>
    <col min="10" max="13" width="12.5" customWidth="1"/>
    <col min="14" max="14" width="2.5" customWidth="1"/>
    <col min="15" max="15" width="18.5" customWidth="1"/>
    <col min="16" max="26" width="8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customHeight="1">
      <c r="A2" s="1"/>
      <c r="B2" s="155" t="s">
        <v>185</v>
      </c>
      <c r="C2" s="155"/>
      <c r="D2" s="155"/>
      <c r="E2" s="155"/>
      <c r="F2" s="155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>
        <v>119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58" t="s">
        <v>0</v>
      </c>
      <c r="C4" s="159"/>
      <c r="D4" s="159"/>
      <c r="E4" s="159"/>
      <c r="F4" s="159"/>
      <c r="G4" s="160"/>
      <c r="H4" s="1"/>
      <c r="I4" s="161" t="s">
        <v>1</v>
      </c>
      <c r="J4" s="159"/>
      <c r="K4" s="159"/>
      <c r="L4" s="159"/>
      <c r="M4" s="160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6" t="s">
        <v>2</v>
      </c>
      <c r="C6" s="162" t="s">
        <v>180</v>
      </c>
      <c r="D6" s="163"/>
      <c r="E6" s="163"/>
      <c r="F6" s="164"/>
      <c r="G6" s="1"/>
      <c r="H6" s="1"/>
      <c r="I6" s="7"/>
      <c r="J6" s="7"/>
      <c r="K6" s="8" t="s">
        <v>3</v>
      </c>
      <c r="L6" s="7" t="s">
        <v>4</v>
      </c>
      <c r="M6" s="7" t="s">
        <v>5</v>
      </c>
      <c r="N6" s="1"/>
      <c r="O6" s="9" t="s">
        <v>6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6" t="s">
        <v>7</v>
      </c>
      <c r="C7" s="165"/>
      <c r="D7" s="163"/>
      <c r="E7" s="163"/>
      <c r="F7" s="164"/>
      <c r="G7" s="1" t="s">
        <v>8</v>
      </c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6" t="s">
        <v>9</v>
      </c>
      <c r="C8" s="162" t="s">
        <v>181</v>
      </c>
      <c r="D8" s="163"/>
      <c r="E8" s="163"/>
      <c r="F8" s="164"/>
      <c r="G8" s="1"/>
      <c r="H8" s="1"/>
      <c r="I8" s="10" t="s">
        <v>10</v>
      </c>
      <c r="J8" s="1"/>
      <c r="K8" s="1"/>
      <c r="L8" s="11"/>
      <c r="M8" s="11"/>
      <c r="N8" s="1"/>
      <c r="O8" s="1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6" t="s">
        <v>11</v>
      </c>
      <c r="C9" s="162" t="s">
        <v>182</v>
      </c>
      <c r="D9" s="166"/>
      <c r="E9" s="166"/>
      <c r="F9" s="167"/>
      <c r="G9" s="1" t="s">
        <v>8</v>
      </c>
      <c r="H9" s="1"/>
      <c r="I9" s="1" t="s">
        <v>12</v>
      </c>
      <c r="J9" s="1"/>
      <c r="K9" s="1"/>
      <c r="L9" s="121">
        <f t="shared" ref="L9:L10" si="0">+M9/12</f>
        <v>59981.666666666664</v>
      </c>
      <c r="M9" s="121">
        <f>+Sensitivities!F4*E18*365</f>
        <v>719780</v>
      </c>
      <c r="N9" s="1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4"/>
      <c r="D10" s="1"/>
      <c r="E10" s="1"/>
      <c r="F10" s="1"/>
      <c r="G10" s="1"/>
      <c r="H10" s="1" t="s">
        <v>8</v>
      </c>
      <c r="I10" s="1" t="s">
        <v>13</v>
      </c>
      <c r="J10" s="15"/>
      <c r="K10" s="15"/>
      <c r="L10" s="121">
        <f t="shared" si="0"/>
        <v>2083.3333333333335</v>
      </c>
      <c r="M10" s="122">
        <v>25000</v>
      </c>
      <c r="N10" s="1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 t="s">
        <v>8</v>
      </c>
      <c r="I11" s="6" t="s">
        <v>14</v>
      </c>
      <c r="J11" s="17"/>
      <c r="K11" s="17"/>
      <c r="L11" s="123">
        <f t="shared" ref="L11:M11" si="1">+SUM(L9:L10)</f>
        <v>62065</v>
      </c>
      <c r="M11" s="123">
        <f t="shared" si="1"/>
        <v>744780</v>
      </c>
      <c r="N11" s="1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9" t="s">
        <v>15</v>
      </c>
      <c r="C12" s="20" t="s">
        <v>16</v>
      </c>
      <c r="D12" s="20" t="s">
        <v>17</v>
      </c>
      <c r="E12" s="20" t="s">
        <v>18</v>
      </c>
      <c r="F12" s="20" t="s">
        <v>19</v>
      </c>
      <c r="G12" s="21" t="s">
        <v>20</v>
      </c>
      <c r="H12" s="1" t="s">
        <v>8</v>
      </c>
      <c r="I12" s="1"/>
      <c r="J12" s="1"/>
      <c r="K12" s="11"/>
      <c r="L12" s="11"/>
      <c r="M12" s="1"/>
      <c r="N12" s="1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2"/>
      <c r="B13" s="23" t="str">
        <f t="shared" ref="B13:B16" si="2">+IF(C13="","",C13&amp;" Bed")&amp;IF(OR(C13="",D13=""),""," / ")&amp;IF(D13="","",D13&amp;" Bath")</f>
        <v>8 Bed / 10 Bath</v>
      </c>
      <c r="C13" s="24">
        <v>8</v>
      </c>
      <c r="D13" s="24">
        <v>10</v>
      </c>
      <c r="E13" s="24">
        <v>1</v>
      </c>
      <c r="F13" s="112">
        <v>1972</v>
      </c>
      <c r="G13" s="25"/>
      <c r="H13" s="1" t="s">
        <v>8</v>
      </c>
      <c r="I13" s="10" t="s">
        <v>21</v>
      </c>
      <c r="J13" s="1"/>
      <c r="K13" s="11"/>
      <c r="L13" s="1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2"/>
      <c r="B14" s="23" t="str">
        <f t="shared" si="2"/>
        <v/>
      </c>
      <c r="C14" s="24"/>
      <c r="D14" s="24"/>
      <c r="E14" s="24"/>
      <c r="F14" s="112"/>
      <c r="G14" s="26"/>
      <c r="H14" s="1" t="s">
        <v>8</v>
      </c>
      <c r="I14" s="27" t="s">
        <v>22</v>
      </c>
      <c r="J14" s="1"/>
      <c r="K14" s="28">
        <v>0.15</v>
      </c>
      <c r="L14" s="124">
        <f t="shared" ref="L14:L15" si="3">+M14/12</f>
        <v>8997.25</v>
      </c>
      <c r="M14" s="124">
        <f>+K14*$M$9</f>
        <v>107967</v>
      </c>
      <c r="N14" s="1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2"/>
      <c r="B15" s="23" t="str">
        <f t="shared" si="2"/>
        <v/>
      </c>
      <c r="C15" s="24"/>
      <c r="D15" s="24"/>
      <c r="E15" s="24"/>
      <c r="F15" s="112"/>
      <c r="G15" s="29"/>
      <c r="H15" s="1" t="s">
        <v>8</v>
      </c>
      <c r="I15" s="27" t="s">
        <v>23</v>
      </c>
      <c r="J15" s="1"/>
      <c r="K15" s="28">
        <v>0.2</v>
      </c>
      <c r="L15" s="124">
        <f t="shared" si="3"/>
        <v>10196.883333333333</v>
      </c>
      <c r="M15" s="124">
        <f>+K15*($M$9-$M$14)</f>
        <v>122362.6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2"/>
      <c r="B16" s="23" t="str">
        <f t="shared" si="2"/>
        <v/>
      </c>
      <c r="C16" s="24"/>
      <c r="D16" s="24"/>
      <c r="E16" s="24"/>
      <c r="F16" s="112"/>
      <c r="G16" s="29"/>
      <c r="H16" s="1" t="s">
        <v>8</v>
      </c>
      <c r="I16" s="27" t="s">
        <v>24</v>
      </c>
      <c r="J16" s="1"/>
      <c r="K16" s="22"/>
      <c r="L16" s="124">
        <f>+(SUMIFS(Index!$C$3:$C$25,Index!$B$3:$B$25,Overview!C13&amp;"/"&amp;Overview!D13)*E13)+(SUMIFS(Index!$C$3:$C$25,Index!$B$3:$B$25,Overview!C14&amp;"/"&amp;Overview!D14)*E14)+(SUMIFS(Index!$C$3:$C$25,Index!$B$3:$B$25,Overview!C15&amp;"/"&amp;Overview!D15)*E15)+(SUMIFS(Index!$C$3:$C$25,Index!$B$3:$B$25,Overview!C16&amp;"/"&amp;Overview!D16)*E16)+(SUMIFS(Index!$C$3:$C$25,Index!$B$3:$B$25,Overview!C17&amp;"/"&amp;Overview!D17)*E17)</f>
        <v>0</v>
      </c>
      <c r="M16" s="124">
        <f>+L16*12</f>
        <v>0</v>
      </c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0"/>
      <c r="C17" s="31"/>
      <c r="D17" s="31"/>
      <c r="E17" s="31"/>
      <c r="F17" s="113"/>
      <c r="G17" s="32"/>
      <c r="H17" s="1"/>
      <c r="I17" s="6" t="s">
        <v>26</v>
      </c>
      <c r="J17" s="17"/>
      <c r="K17" s="17"/>
      <c r="L17" s="125">
        <f t="shared" ref="L17:M17" si="4">+SUM(L14:L16)</f>
        <v>19194.133333333331</v>
      </c>
      <c r="M17" s="125">
        <f t="shared" si="4"/>
        <v>230329.60000000001</v>
      </c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3" t="s">
        <v>27</v>
      </c>
      <c r="C18" s="7">
        <f t="shared" ref="C18:D18" si="5">+SUMPRODUCT(C13:C17,$E$13:$E$17)</f>
        <v>8</v>
      </c>
      <c r="D18" s="7">
        <f t="shared" si="5"/>
        <v>10</v>
      </c>
      <c r="E18" s="7">
        <f>+SUM(E13:E17)</f>
        <v>1</v>
      </c>
      <c r="F18" s="114">
        <f>+SUMPRODUCT(F13:F17,E13:E17)</f>
        <v>1972</v>
      </c>
      <c r="G18" s="5"/>
      <c r="H18" s="1"/>
      <c r="I18" s="27"/>
      <c r="J18" s="1"/>
      <c r="K18" s="1"/>
      <c r="L18" s="1"/>
      <c r="M18" s="33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34" t="s">
        <v>28</v>
      </c>
      <c r="C19" s="35"/>
      <c r="D19" s="35"/>
      <c r="E19" s="35"/>
      <c r="F19" s="115">
        <f>+IFERROR(SUMPRODUCT(F13:F17,$E$13:$E$17)/SUM($E$13:$E$17),0)</f>
        <v>1972</v>
      </c>
      <c r="G19" s="36"/>
      <c r="H19" s="1"/>
      <c r="I19" s="4" t="s">
        <v>184</v>
      </c>
      <c r="J19" s="4"/>
      <c r="K19" s="4"/>
      <c r="L19" s="126">
        <f t="shared" ref="L19:M19" si="6">+L11-L17</f>
        <v>42870.866666666669</v>
      </c>
      <c r="M19" s="126">
        <f t="shared" si="6"/>
        <v>514450.4</v>
      </c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37"/>
      <c r="C20" s="38"/>
      <c r="D20" s="38"/>
      <c r="E20" s="38"/>
      <c r="F20" s="39"/>
      <c r="G20" s="37"/>
      <c r="H20" s="1"/>
      <c r="I20" s="27"/>
      <c r="J20" s="1"/>
      <c r="K20" s="1"/>
      <c r="L20" s="127"/>
      <c r="M20" s="127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0" t="s">
        <v>29</v>
      </c>
      <c r="J21" s="1"/>
      <c r="K21" s="1"/>
      <c r="L21" s="128"/>
      <c r="M21" s="128"/>
      <c r="N21" s="1"/>
      <c r="O21" s="2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58" t="s">
        <v>30</v>
      </c>
      <c r="C22" s="159"/>
      <c r="D22" s="159"/>
      <c r="E22" s="159"/>
      <c r="F22" s="159"/>
      <c r="G22" s="160"/>
      <c r="H22" s="22"/>
      <c r="I22" s="41" t="s">
        <v>31</v>
      </c>
      <c r="J22" s="1"/>
      <c r="K22" s="1"/>
      <c r="L22" s="129">
        <v>1600</v>
      </c>
      <c r="M22" s="130">
        <f t="shared" ref="M22:M24" si="7">+L22*12</f>
        <v>19200</v>
      </c>
      <c r="N22" s="1"/>
      <c r="O22" s="2" t="s">
        <v>186</v>
      </c>
      <c r="P22" s="1"/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42" t="s">
        <v>32</v>
      </c>
      <c r="E23" s="42" t="s">
        <v>183</v>
      </c>
      <c r="F23" s="156" t="s">
        <v>6</v>
      </c>
      <c r="G23" s="157"/>
      <c r="H23" s="22"/>
      <c r="I23" s="41" t="s">
        <v>33</v>
      </c>
      <c r="J23" s="1"/>
      <c r="K23" s="1"/>
      <c r="L23" s="129">
        <v>530</v>
      </c>
      <c r="M23" s="130">
        <f t="shared" si="7"/>
        <v>6360</v>
      </c>
      <c r="N23" s="1"/>
      <c r="O23" s="2" t="s">
        <v>187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41" t="s">
        <v>34</v>
      </c>
      <c r="C24" s="22"/>
      <c r="D24" s="22"/>
      <c r="E24" s="116">
        <v>6500000</v>
      </c>
      <c r="F24" s="43"/>
      <c r="G24" s="13"/>
      <c r="H24" s="22"/>
      <c r="I24" s="41" t="s">
        <v>35</v>
      </c>
      <c r="J24" s="1"/>
      <c r="K24" s="44"/>
      <c r="L24" s="129">
        <v>0</v>
      </c>
      <c r="M24" s="130">
        <f t="shared" si="7"/>
        <v>0</v>
      </c>
      <c r="N24" s="1"/>
      <c r="O24" s="2" t="s">
        <v>188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41" t="s">
        <v>36</v>
      </c>
      <c r="C25" s="22"/>
      <c r="D25" s="45">
        <v>0.155</v>
      </c>
      <c r="E25" s="117">
        <f>+E24*D25</f>
        <v>1007500</v>
      </c>
      <c r="F25" s="43"/>
      <c r="G25" s="13"/>
      <c r="H25" s="22"/>
      <c r="I25" s="41" t="s">
        <v>37</v>
      </c>
      <c r="J25" s="1"/>
      <c r="K25" s="28">
        <v>2.5000000000000001E-2</v>
      </c>
      <c r="L25" s="130">
        <f t="shared" ref="L25:L27" si="8">+M25/12</f>
        <v>1499.5416666666667</v>
      </c>
      <c r="M25" s="130">
        <f t="shared" ref="M25:M26" si="9">+K25*$M$9</f>
        <v>17994.5</v>
      </c>
      <c r="N25" s="1"/>
      <c r="O25" s="2" t="s">
        <v>190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41" t="s">
        <v>38</v>
      </c>
      <c r="C26" s="22"/>
      <c r="D26" s="22"/>
      <c r="E26" s="116">
        <v>1250000</v>
      </c>
      <c r="F26" s="43" t="s">
        <v>39</v>
      </c>
      <c r="G26" s="9"/>
      <c r="H26" s="22"/>
      <c r="I26" s="41" t="s">
        <v>40</v>
      </c>
      <c r="J26" s="1"/>
      <c r="K26" s="28">
        <v>0.03</v>
      </c>
      <c r="L26" s="130">
        <f t="shared" si="8"/>
        <v>1799.4499999999998</v>
      </c>
      <c r="M26" s="130">
        <f t="shared" si="9"/>
        <v>21593.399999999998</v>
      </c>
      <c r="N26" s="1"/>
      <c r="O26" s="2" t="s">
        <v>191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41" t="s">
        <v>41</v>
      </c>
      <c r="C27" s="22"/>
      <c r="D27" s="22"/>
      <c r="E27" s="116">
        <v>500000</v>
      </c>
      <c r="F27" s="43" t="s">
        <v>25</v>
      </c>
      <c r="G27" s="9"/>
      <c r="H27" s="22"/>
      <c r="I27" s="41" t="s">
        <v>42</v>
      </c>
      <c r="J27" s="1"/>
      <c r="K27" s="22"/>
      <c r="L27" s="130">
        <f t="shared" si="8"/>
        <v>50</v>
      </c>
      <c r="M27" s="129">
        <v>600</v>
      </c>
      <c r="N27" s="1"/>
      <c r="O27" s="2" t="s">
        <v>189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41" t="s">
        <v>43</v>
      </c>
      <c r="C28" s="22"/>
      <c r="D28" s="22"/>
      <c r="E28" s="116">
        <v>10000</v>
      </c>
      <c r="F28" s="43" t="s">
        <v>44</v>
      </c>
      <c r="G28" s="9"/>
      <c r="H28" s="1"/>
      <c r="I28" s="6" t="s">
        <v>26</v>
      </c>
      <c r="J28" s="17"/>
      <c r="K28" s="17"/>
      <c r="L28" s="131">
        <f t="shared" ref="L28:M28" si="10">+SUM(L22:L27)</f>
        <v>5478.9916666666668</v>
      </c>
      <c r="M28" s="131">
        <f t="shared" si="10"/>
        <v>65747.899999999994</v>
      </c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46" t="s">
        <v>45</v>
      </c>
      <c r="C29" s="1"/>
      <c r="D29" s="1"/>
      <c r="E29" s="118">
        <f>+Sensitivities!F6+E25+Sensitivities!F8+Overview!E27+Overview!E28</f>
        <v>9267500</v>
      </c>
      <c r="F29" s="43"/>
      <c r="G29" s="13"/>
      <c r="H29" s="1"/>
      <c r="I29" s="1"/>
      <c r="J29" s="1"/>
      <c r="K29" s="1"/>
      <c r="L29" s="132"/>
      <c r="M29" s="132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22"/>
      <c r="G30" s="22"/>
      <c r="H30" s="1"/>
      <c r="I30" s="47" t="s">
        <v>46</v>
      </c>
      <c r="J30" s="47"/>
      <c r="K30" s="47"/>
      <c r="L30" s="126">
        <f t="shared" ref="L30:M30" si="11">+L19-L28</f>
        <v>37391.875</v>
      </c>
      <c r="M30" s="126">
        <f t="shared" si="11"/>
        <v>448702.5</v>
      </c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58" t="s">
        <v>47</v>
      </c>
      <c r="C31" s="159"/>
      <c r="D31" s="159"/>
      <c r="E31" s="159"/>
      <c r="F31" s="159"/>
      <c r="G31" s="160"/>
      <c r="H31" s="1"/>
      <c r="I31" s="1"/>
      <c r="J31" s="1"/>
      <c r="K31" s="1"/>
      <c r="L31" s="128"/>
      <c r="M31" s="128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42" t="s">
        <v>32</v>
      </c>
      <c r="E32" s="42" t="s">
        <v>183</v>
      </c>
      <c r="F32" s="156" t="s">
        <v>6</v>
      </c>
      <c r="G32" s="157"/>
      <c r="H32" s="1"/>
      <c r="I32" s="22" t="s">
        <v>48</v>
      </c>
      <c r="J32" s="22"/>
      <c r="K32" s="22"/>
      <c r="L32" s="130">
        <f>+M32/12</f>
        <v>12187.5</v>
      </c>
      <c r="M32" s="130">
        <f>+IFERROR(IF(E37="Amortization",-PMT(E36,E38,E34),IF(E37="Interest Only",E34*E36,0)),0)</f>
        <v>146250</v>
      </c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2" t="s">
        <v>49</v>
      </c>
      <c r="C33" s="1"/>
      <c r="D33" s="48">
        <v>0.4</v>
      </c>
      <c r="E33" s="119">
        <f>+Sensitivities!F6*D33</f>
        <v>2600000</v>
      </c>
      <c r="F33" s="43" t="s">
        <v>50</v>
      </c>
      <c r="G33" s="9"/>
      <c r="H33" s="1"/>
      <c r="I33" s="1"/>
      <c r="J33" s="1"/>
      <c r="K33" s="1"/>
      <c r="L33" s="128"/>
      <c r="M33" s="128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2" t="s">
        <v>51</v>
      </c>
      <c r="C34" s="1"/>
      <c r="D34" s="22"/>
      <c r="E34" s="119">
        <f>+Sensitivities!F6-E33</f>
        <v>3900000</v>
      </c>
      <c r="F34" s="43"/>
      <c r="G34" s="13"/>
      <c r="H34" s="1"/>
      <c r="I34" s="4" t="s">
        <v>52</v>
      </c>
      <c r="J34" s="4"/>
      <c r="K34" s="4"/>
      <c r="L34" s="126">
        <f t="shared" ref="L34:M34" si="12">+L30-SUM(L32)</f>
        <v>25204.375</v>
      </c>
      <c r="M34" s="126">
        <f t="shared" si="12"/>
        <v>302452.5</v>
      </c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2" t="s">
        <v>53</v>
      </c>
      <c r="C35" s="1"/>
      <c r="D35" s="45">
        <v>0.03</v>
      </c>
      <c r="E35" s="119">
        <f>+E34*D35</f>
        <v>117000</v>
      </c>
      <c r="F35" s="43" t="s">
        <v>54</v>
      </c>
      <c r="G35" s="13"/>
      <c r="H35" s="1"/>
      <c r="I35" s="22"/>
      <c r="J35" s="22"/>
      <c r="K35" s="22"/>
      <c r="L35" s="22"/>
      <c r="M35" s="22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2" t="s">
        <v>55</v>
      </c>
      <c r="C36" s="1"/>
      <c r="D36" s="22"/>
      <c r="E36" s="49">
        <v>3.7499999999999999E-2</v>
      </c>
      <c r="F36" s="43" t="s">
        <v>50</v>
      </c>
      <c r="G36" s="9"/>
      <c r="H36" s="1"/>
      <c r="I36" s="22"/>
      <c r="J36" s="6"/>
      <c r="K36" s="4" t="s">
        <v>56</v>
      </c>
      <c r="L36" s="4"/>
      <c r="M36" s="50">
        <f>+IFERROR(M11/Sensitivities!F6,0)</f>
        <v>0.11458153846153846</v>
      </c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2" t="s">
        <v>57</v>
      </c>
      <c r="C37" s="1"/>
      <c r="D37" s="22"/>
      <c r="E37" s="51" t="s">
        <v>192</v>
      </c>
      <c r="F37" s="43"/>
      <c r="G37" s="13"/>
      <c r="H37" s="1"/>
      <c r="I37" s="22"/>
      <c r="J37" s="6"/>
      <c r="K37" s="4" t="s">
        <v>58</v>
      </c>
      <c r="L37" s="4"/>
      <c r="M37" s="50">
        <f>+IFERROR(M34/E39,0)</f>
        <v>5.5146777281429485E-2</v>
      </c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2" t="s">
        <v>59</v>
      </c>
      <c r="C38" s="1"/>
      <c r="D38" s="22"/>
      <c r="E38" s="52">
        <v>10</v>
      </c>
      <c r="F38" s="43"/>
      <c r="G38" s="2"/>
      <c r="H38" s="1"/>
      <c r="I38" s="22"/>
      <c r="J38" s="6"/>
      <c r="K38" s="4" t="s">
        <v>60</v>
      </c>
      <c r="L38" s="4"/>
      <c r="M38" s="50">
        <f>+IFERROR(M30/E24,0)</f>
        <v>6.9031153846153839E-2</v>
      </c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6" t="s">
        <v>61</v>
      </c>
      <c r="C39" s="6"/>
      <c r="D39" s="6"/>
      <c r="E39" s="120">
        <f>+E29-E34+E35</f>
        <v>5484500</v>
      </c>
      <c r="F39" s="43"/>
      <c r="G39" s="2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3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7"/>
      <c r="C86" s="54"/>
      <c r="D86" s="1"/>
      <c r="E86" s="1"/>
      <c r="F86" s="1"/>
      <c r="G86" s="1"/>
      <c r="H86" s="1"/>
      <c r="I86" s="27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7"/>
      <c r="C87" s="54"/>
      <c r="D87" s="1"/>
      <c r="E87" s="1"/>
      <c r="F87" s="1"/>
      <c r="G87" s="1"/>
      <c r="H87" s="1"/>
      <c r="I87" s="27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7"/>
      <c r="C88" s="54"/>
      <c r="D88" s="1"/>
      <c r="E88" s="1"/>
      <c r="F88" s="1"/>
      <c r="G88" s="1"/>
      <c r="H88" s="1"/>
      <c r="I88" s="27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7"/>
      <c r="C89" s="54"/>
      <c r="D89" s="1"/>
      <c r="E89" s="1"/>
      <c r="F89" s="1"/>
      <c r="G89" s="1"/>
      <c r="H89" s="1"/>
      <c r="I89" s="27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7"/>
      <c r="C90" s="54"/>
      <c r="D90" s="1"/>
      <c r="E90" s="1"/>
      <c r="F90" s="1"/>
      <c r="G90" s="1"/>
      <c r="H90" s="1"/>
      <c r="I90" s="27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7"/>
      <c r="C91" s="54"/>
      <c r="D91" s="1"/>
      <c r="E91" s="1"/>
      <c r="F91" s="1"/>
      <c r="G91" s="1"/>
      <c r="H91" s="1"/>
      <c r="I91" s="27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7"/>
      <c r="C92" s="5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7"/>
      <c r="C93" s="5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7"/>
      <c r="C94" s="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7"/>
      <c r="C95" s="5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7"/>
      <c r="C96" s="5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7"/>
      <c r="C97" s="5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7"/>
      <c r="C98" s="5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7"/>
      <c r="C99" s="5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7"/>
      <c r="C100" s="5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7"/>
      <c r="C101" s="5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7"/>
      <c r="C102" s="5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7"/>
      <c r="C103" s="5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7"/>
      <c r="C104" s="5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7"/>
      <c r="C105" s="5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7"/>
      <c r="C106" s="5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7"/>
      <c r="C107" s="5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7"/>
      <c r="C108" s="5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7"/>
      <c r="C109" s="5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7"/>
      <c r="C110" s="5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7"/>
      <c r="C111" s="5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7"/>
      <c r="C112" s="5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7"/>
      <c r="C113" s="5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7"/>
      <c r="C114" s="5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7"/>
      <c r="C115" s="5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7"/>
      <c r="C116" s="5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7"/>
      <c r="C117" s="5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7"/>
      <c r="C118" s="5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7"/>
      <c r="C119" s="5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7"/>
      <c r="C120" s="5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7"/>
      <c r="C121" s="5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7"/>
      <c r="C122" s="5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7"/>
      <c r="C123" s="5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7"/>
      <c r="C124" s="5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7"/>
      <c r="C125" s="5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7"/>
      <c r="C126" s="5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7"/>
      <c r="C127" s="5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7"/>
      <c r="C128" s="5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7"/>
      <c r="C129" s="5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7"/>
      <c r="C130" s="5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7"/>
      <c r="C131" s="5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7"/>
      <c r="C132" s="5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7"/>
      <c r="C133" s="5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7"/>
      <c r="C134" s="5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7"/>
      <c r="C135" s="5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7"/>
      <c r="C136" s="5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7"/>
      <c r="C137" s="5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7"/>
      <c r="C138" s="5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7"/>
      <c r="C139" s="5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7"/>
      <c r="C140" s="5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7"/>
      <c r="C141" s="5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7"/>
      <c r="C142" s="5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7"/>
      <c r="C143" s="5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7"/>
      <c r="C144" s="5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7"/>
      <c r="C145" s="5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7"/>
      <c r="C146" s="5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7"/>
      <c r="C147" s="5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7"/>
      <c r="C148" s="5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7"/>
      <c r="C149" s="5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7"/>
      <c r="C150" s="5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7"/>
      <c r="C151" s="5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7"/>
      <c r="C152" s="5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7"/>
      <c r="C153" s="5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7"/>
      <c r="C154" s="5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7"/>
      <c r="C155" s="5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7"/>
      <c r="C156" s="5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7"/>
      <c r="C157" s="5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7"/>
      <c r="C158" s="5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7"/>
      <c r="C159" s="5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7"/>
      <c r="C160" s="5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7"/>
      <c r="C161" s="5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7"/>
      <c r="C162" s="5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7"/>
      <c r="C163" s="5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7"/>
      <c r="C164" s="5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7"/>
      <c r="C165" s="5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7"/>
      <c r="C166" s="5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7"/>
      <c r="C167" s="5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7"/>
      <c r="C168" s="5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7"/>
      <c r="C169" s="5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7"/>
      <c r="C170" s="5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7"/>
      <c r="C171" s="5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7"/>
      <c r="C172" s="5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7"/>
      <c r="C173" s="5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7"/>
      <c r="C174" s="5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1">
    <mergeCell ref="B2:F2"/>
    <mergeCell ref="F32:G32"/>
    <mergeCell ref="B4:G4"/>
    <mergeCell ref="I4:M4"/>
    <mergeCell ref="C6:F6"/>
    <mergeCell ref="C7:F7"/>
    <mergeCell ref="C8:F8"/>
    <mergeCell ref="C9:F9"/>
    <mergeCell ref="B22:G22"/>
    <mergeCell ref="F23:G23"/>
    <mergeCell ref="B31:G31"/>
  </mergeCells>
  <dataValidations count="1">
    <dataValidation type="list" allowBlank="1" showErrorMessage="1" sqref="E37" xr:uid="{00000000-0002-0000-0000-000000000000}">
      <formula1>"Amortization,Interest Only"</formula1>
    </dataValidation>
  </dataValidation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zoomScale="110" zoomScaleNormal="110" workbookViewId="0">
      <pane ySplit="12" topLeftCell="A49" activePane="bottomLeft" state="frozen"/>
      <selection pane="bottomLeft" activeCell="D66" sqref="D66"/>
    </sheetView>
  </sheetViews>
  <sheetFormatPr baseColWidth="10" defaultColWidth="11.1640625" defaultRowHeight="15" customHeight="1"/>
  <cols>
    <col min="1" max="1" width="8.6640625" customWidth="1"/>
    <col min="2" max="2" width="25.33203125" customWidth="1"/>
    <col min="3" max="3" width="10.6640625" customWidth="1"/>
    <col min="4" max="13" width="13.5" customWidth="1"/>
    <col min="14" max="14" width="16.5" customWidth="1"/>
    <col min="15" max="15" width="13.5" customWidth="1"/>
    <col min="16" max="26" width="8.6640625" customWidth="1"/>
  </cols>
  <sheetData>
    <row r="1" spans="1:26" ht="12.75" customHeight="1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2.75" customHeight="1">
      <c r="A2" s="55"/>
      <c r="B2" s="57" t="s">
        <v>62</v>
      </c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58" t="s">
        <v>63</v>
      </c>
      <c r="C3" s="16">
        <v>10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58" t="s">
        <v>64</v>
      </c>
      <c r="C4" s="59">
        <v>0.04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58" t="s">
        <v>65</v>
      </c>
      <c r="C5" s="51" t="s">
        <v>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60" t="str">
        <f>+IF(C5="","",IF(C5="Appreciation","Annual Amount",IF(C5="Cap Rate","Cap Rate")))</f>
        <v>Annual Amount</v>
      </c>
      <c r="C6" s="59">
        <v>0.08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58"/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57" t="s">
        <v>67</v>
      </c>
      <c r="C8" s="55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58" t="s">
        <v>68</v>
      </c>
      <c r="C9" s="55"/>
      <c r="D9" s="61"/>
      <c r="E9" s="59">
        <v>2.5000000000000001E-2</v>
      </c>
      <c r="F9" s="59">
        <f t="shared" ref="F9:O9" si="0">+E9</f>
        <v>2.5000000000000001E-2</v>
      </c>
      <c r="G9" s="59">
        <f t="shared" si="0"/>
        <v>2.5000000000000001E-2</v>
      </c>
      <c r="H9" s="59">
        <f t="shared" si="0"/>
        <v>2.5000000000000001E-2</v>
      </c>
      <c r="I9" s="59">
        <f t="shared" si="0"/>
        <v>2.5000000000000001E-2</v>
      </c>
      <c r="J9" s="59">
        <f t="shared" si="0"/>
        <v>2.5000000000000001E-2</v>
      </c>
      <c r="K9" s="59">
        <f t="shared" si="0"/>
        <v>2.5000000000000001E-2</v>
      </c>
      <c r="L9" s="59">
        <f t="shared" si="0"/>
        <v>2.5000000000000001E-2</v>
      </c>
      <c r="M9" s="59">
        <f t="shared" si="0"/>
        <v>2.5000000000000001E-2</v>
      </c>
      <c r="N9" s="59">
        <f t="shared" si="0"/>
        <v>2.5000000000000001E-2</v>
      </c>
      <c r="O9" s="59">
        <f t="shared" si="0"/>
        <v>2.5000000000000001E-2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58" t="s">
        <v>69</v>
      </c>
      <c r="C10" s="55"/>
      <c r="D10" s="61"/>
      <c r="E10" s="59">
        <v>0.02</v>
      </c>
      <c r="F10" s="59">
        <f t="shared" ref="F10:O10" si="1">+E10</f>
        <v>0.02</v>
      </c>
      <c r="G10" s="59">
        <f t="shared" si="1"/>
        <v>0.02</v>
      </c>
      <c r="H10" s="59">
        <f t="shared" si="1"/>
        <v>0.02</v>
      </c>
      <c r="I10" s="59">
        <f t="shared" si="1"/>
        <v>0.02</v>
      </c>
      <c r="J10" s="59">
        <f t="shared" si="1"/>
        <v>0.02</v>
      </c>
      <c r="K10" s="59">
        <f t="shared" si="1"/>
        <v>0.02</v>
      </c>
      <c r="L10" s="59">
        <f t="shared" si="1"/>
        <v>0.02</v>
      </c>
      <c r="M10" s="59">
        <f t="shared" si="1"/>
        <v>0.02</v>
      </c>
      <c r="N10" s="59">
        <f t="shared" si="1"/>
        <v>0.02</v>
      </c>
      <c r="O10" s="59">
        <f t="shared" si="1"/>
        <v>0.02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55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62"/>
      <c r="C12" s="62"/>
      <c r="D12" s="63">
        <v>0</v>
      </c>
      <c r="E12" s="63">
        <f t="shared" ref="E12:O12" si="2">+D12+1</f>
        <v>1</v>
      </c>
      <c r="F12" s="63">
        <f t="shared" si="2"/>
        <v>2</v>
      </c>
      <c r="G12" s="63">
        <f t="shared" si="2"/>
        <v>3</v>
      </c>
      <c r="H12" s="63">
        <f t="shared" si="2"/>
        <v>4</v>
      </c>
      <c r="I12" s="63">
        <f t="shared" si="2"/>
        <v>5</v>
      </c>
      <c r="J12" s="63">
        <f t="shared" si="2"/>
        <v>6</v>
      </c>
      <c r="K12" s="63">
        <f t="shared" si="2"/>
        <v>7</v>
      </c>
      <c r="L12" s="63">
        <f t="shared" si="2"/>
        <v>8</v>
      </c>
      <c r="M12" s="63">
        <f t="shared" si="2"/>
        <v>9</v>
      </c>
      <c r="N12" s="63">
        <f t="shared" si="2"/>
        <v>10</v>
      </c>
      <c r="O12" s="63">
        <f t="shared" si="2"/>
        <v>11</v>
      </c>
      <c r="P12" s="64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55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57" t="s">
        <v>10</v>
      </c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58" t="s">
        <v>12</v>
      </c>
      <c r="C15" s="58"/>
      <c r="D15" s="65"/>
      <c r="E15" s="139">
        <f>+Overview!M9</f>
        <v>719780</v>
      </c>
      <c r="F15" s="139">
        <f t="shared" ref="F15:O15" si="3">+E15*(1+F$9)</f>
        <v>737774.49999999988</v>
      </c>
      <c r="G15" s="139">
        <f t="shared" si="3"/>
        <v>756218.86249999981</v>
      </c>
      <c r="H15" s="139">
        <f t="shared" si="3"/>
        <v>775124.33406249969</v>
      </c>
      <c r="I15" s="139">
        <f t="shared" si="3"/>
        <v>794502.4424140621</v>
      </c>
      <c r="J15" s="139">
        <f t="shared" si="3"/>
        <v>814365.00347441353</v>
      </c>
      <c r="K15" s="139">
        <f t="shared" si="3"/>
        <v>834724.1285612738</v>
      </c>
      <c r="L15" s="139">
        <f t="shared" si="3"/>
        <v>855592.23177530558</v>
      </c>
      <c r="M15" s="139">
        <f t="shared" si="3"/>
        <v>876982.03756968817</v>
      </c>
      <c r="N15" s="139">
        <f t="shared" si="3"/>
        <v>898906.58850893029</v>
      </c>
      <c r="O15" s="139">
        <f t="shared" si="3"/>
        <v>921379.25322165352</v>
      </c>
      <c r="P15" s="58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58" t="s">
        <v>13</v>
      </c>
      <c r="C16" s="66"/>
      <c r="D16" s="67"/>
      <c r="E16" s="139">
        <f>+Overview!M10</f>
        <v>25000</v>
      </c>
      <c r="F16" s="139">
        <f t="shared" ref="F16:O16" si="4">+E16*(1+F$9)</f>
        <v>25624.999999999996</v>
      </c>
      <c r="G16" s="139">
        <f t="shared" si="4"/>
        <v>26265.624999999993</v>
      </c>
      <c r="H16" s="139">
        <f t="shared" si="4"/>
        <v>26922.265624999989</v>
      </c>
      <c r="I16" s="139">
        <f t="shared" si="4"/>
        <v>27595.322265624985</v>
      </c>
      <c r="J16" s="139">
        <f t="shared" si="4"/>
        <v>28285.205322265607</v>
      </c>
      <c r="K16" s="139">
        <f t="shared" si="4"/>
        <v>28992.335455322245</v>
      </c>
      <c r="L16" s="139">
        <f t="shared" si="4"/>
        <v>29717.1438417053</v>
      </c>
      <c r="M16" s="139">
        <f t="shared" si="4"/>
        <v>30460.072437747931</v>
      </c>
      <c r="N16" s="139">
        <f t="shared" si="4"/>
        <v>31221.574248691628</v>
      </c>
      <c r="O16" s="139">
        <f t="shared" si="4"/>
        <v>32002.113604908915</v>
      </c>
      <c r="P16" s="58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68" t="s">
        <v>14</v>
      </c>
      <c r="C17" s="69"/>
      <c r="D17" s="70"/>
      <c r="E17" s="140">
        <f t="shared" ref="E17:O17" si="5">+SUM(E15:E16)</f>
        <v>744780</v>
      </c>
      <c r="F17" s="140">
        <f t="shared" si="5"/>
        <v>763399.49999999988</v>
      </c>
      <c r="G17" s="140">
        <f t="shared" si="5"/>
        <v>782484.48749999981</v>
      </c>
      <c r="H17" s="140">
        <f t="shared" si="5"/>
        <v>802046.59968749969</v>
      </c>
      <c r="I17" s="140">
        <f t="shared" si="5"/>
        <v>822097.7646796871</v>
      </c>
      <c r="J17" s="140">
        <f t="shared" si="5"/>
        <v>842650.20879667916</v>
      </c>
      <c r="K17" s="140">
        <f t="shared" si="5"/>
        <v>863716.46401659609</v>
      </c>
      <c r="L17" s="140">
        <f t="shared" si="5"/>
        <v>885309.37561701087</v>
      </c>
      <c r="M17" s="140">
        <f t="shared" si="5"/>
        <v>907442.11000743613</v>
      </c>
      <c r="N17" s="140">
        <f t="shared" si="5"/>
        <v>930128.16275762196</v>
      </c>
      <c r="O17" s="140">
        <f t="shared" si="5"/>
        <v>953381.36682656244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71" t="s">
        <v>56</v>
      </c>
      <c r="C18" s="72"/>
      <c r="D18" s="73"/>
      <c r="E18" s="74">
        <f>+IFERROR(E17/Overview!$E$24,0)</f>
        <v>0.11458153846153846</v>
      </c>
      <c r="F18" s="74">
        <f>+IFERROR(F17/Overview!$E$24,0)</f>
        <v>0.1174460769230769</v>
      </c>
      <c r="G18" s="74">
        <f>+IFERROR(G17/Overview!$E$24,0)</f>
        <v>0.12038222884615382</v>
      </c>
      <c r="H18" s="74">
        <f>+IFERROR(H17/Overview!$E$24,0)</f>
        <v>0.12339178456730765</v>
      </c>
      <c r="I18" s="74">
        <f>+IFERROR(I17/Overview!$E$24,0)</f>
        <v>0.12647657918149033</v>
      </c>
      <c r="J18" s="74">
        <f>+IFERROR(J17/Overview!$E$24,0)</f>
        <v>0.12963849366102756</v>
      </c>
      <c r="K18" s="74">
        <f>+IFERROR(K17/Overview!$E$24,0)</f>
        <v>0.13287945600255324</v>
      </c>
      <c r="L18" s="74">
        <f>+IFERROR(L17/Overview!$E$24,0)</f>
        <v>0.13620144240261706</v>
      </c>
      <c r="M18" s="74">
        <f>+IFERROR(M17/Overview!$E$24,0)</f>
        <v>0.13960647846268248</v>
      </c>
      <c r="N18" s="74">
        <f>+IFERROR(N17/Overview!$E$24,0)</f>
        <v>0.14309664042424952</v>
      </c>
      <c r="O18" s="74">
        <f>+IFERROR(O17/Overview!$E$24,0)</f>
        <v>0.14667405643485576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55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57" t="s">
        <v>21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8"/>
      <c r="B21" s="60" t="s">
        <v>22</v>
      </c>
      <c r="C21" s="58"/>
      <c r="D21" s="65"/>
      <c r="E21" s="141">
        <f>+-Overview!M14</f>
        <v>-107967</v>
      </c>
      <c r="F21" s="141">
        <f t="shared" ref="F21:O21" si="6">+E21*(1+F$10)</f>
        <v>-110126.34</v>
      </c>
      <c r="G21" s="141">
        <f t="shared" si="6"/>
        <v>-112328.8668</v>
      </c>
      <c r="H21" s="141">
        <f t="shared" si="6"/>
        <v>-114575.44413600001</v>
      </c>
      <c r="I21" s="141">
        <f t="shared" si="6"/>
        <v>-116866.95301872001</v>
      </c>
      <c r="J21" s="141">
        <f t="shared" si="6"/>
        <v>-119204.29207909442</v>
      </c>
      <c r="K21" s="141">
        <f t="shared" si="6"/>
        <v>-121588.37792067631</v>
      </c>
      <c r="L21" s="141">
        <f t="shared" si="6"/>
        <v>-124020.14547908984</v>
      </c>
      <c r="M21" s="141">
        <f t="shared" si="6"/>
        <v>-126500.54838867164</v>
      </c>
      <c r="N21" s="141">
        <f t="shared" si="6"/>
        <v>-129030.55935644507</v>
      </c>
      <c r="O21" s="141">
        <f t="shared" si="6"/>
        <v>-131611.17054357397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8"/>
      <c r="B22" s="60" t="s">
        <v>23</v>
      </c>
      <c r="C22" s="58"/>
      <c r="D22" s="67"/>
      <c r="E22" s="141">
        <f>+-Overview!M15</f>
        <v>-122362.6</v>
      </c>
      <c r="F22" s="141">
        <f t="shared" ref="F22:O22" si="7">+E22*(1+F$10)</f>
        <v>-124809.85200000001</v>
      </c>
      <c r="G22" s="141">
        <f t="shared" si="7"/>
        <v>-127306.04904000001</v>
      </c>
      <c r="H22" s="141">
        <f t="shared" si="7"/>
        <v>-129852.17002080001</v>
      </c>
      <c r="I22" s="141">
        <f t="shared" si="7"/>
        <v>-132449.213421216</v>
      </c>
      <c r="J22" s="141">
        <f t="shared" si="7"/>
        <v>-135098.19768964034</v>
      </c>
      <c r="K22" s="141">
        <f t="shared" si="7"/>
        <v>-137800.16164343315</v>
      </c>
      <c r="L22" s="141">
        <f t="shared" si="7"/>
        <v>-140556.16487630183</v>
      </c>
      <c r="M22" s="141">
        <f t="shared" si="7"/>
        <v>-143367.28817382787</v>
      </c>
      <c r="N22" s="141">
        <f t="shared" si="7"/>
        <v>-146234.63393730443</v>
      </c>
      <c r="O22" s="141">
        <f t="shared" si="7"/>
        <v>-149159.32661605053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8"/>
      <c r="B23" s="60" t="s">
        <v>70</v>
      </c>
      <c r="C23" s="58"/>
      <c r="D23" s="67"/>
      <c r="E23" s="141">
        <f>+-Overview!M16</f>
        <v>0</v>
      </c>
      <c r="F23" s="141">
        <f t="shared" ref="F23:O23" si="8">+E23*(1+F$10)</f>
        <v>0</v>
      </c>
      <c r="G23" s="141">
        <f t="shared" si="8"/>
        <v>0</v>
      </c>
      <c r="H23" s="141">
        <f t="shared" si="8"/>
        <v>0</v>
      </c>
      <c r="I23" s="141">
        <f t="shared" si="8"/>
        <v>0</v>
      </c>
      <c r="J23" s="141">
        <f t="shared" si="8"/>
        <v>0</v>
      </c>
      <c r="K23" s="141">
        <f t="shared" si="8"/>
        <v>0</v>
      </c>
      <c r="L23" s="141">
        <f t="shared" si="8"/>
        <v>0</v>
      </c>
      <c r="M23" s="141">
        <f t="shared" si="8"/>
        <v>0</v>
      </c>
      <c r="N23" s="141">
        <f t="shared" si="8"/>
        <v>0</v>
      </c>
      <c r="O23" s="141">
        <f t="shared" si="8"/>
        <v>0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8"/>
      <c r="B24" s="68" t="s">
        <v>26</v>
      </c>
      <c r="C24" s="69"/>
      <c r="D24" s="70"/>
      <c r="E24" s="142">
        <f t="shared" ref="E24:O24" si="9">+SUM(E21:E23)</f>
        <v>-230329.60000000001</v>
      </c>
      <c r="F24" s="142">
        <f t="shared" si="9"/>
        <v>-234936.19200000001</v>
      </c>
      <c r="G24" s="142">
        <f t="shared" si="9"/>
        <v>-239634.91584000003</v>
      </c>
      <c r="H24" s="142">
        <f t="shared" si="9"/>
        <v>-244427.61415680003</v>
      </c>
      <c r="I24" s="142">
        <f t="shared" si="9"/>
        <v>-249316.16643993603</v>
      </c>
      <c r="J24" s="142">
        <f t="shared" si="9"/>
        <v>-254302.48976873475</v>
      </c>
      <c r="K24" s="142">
        <f t="shared" si="9"/>
        <v>-259388.53956410947</v>
      </c>
      <c r="L24" s="142">
        <f t="shared" si="9"/>
        <v>-264576.3103553917</v>
      </c>
      <c r="M24" s="142">
        <f t="shared" si="9"/>
        <v>-269867.83656249952</v>
      </c>
      <c r="N24" s="142">
        <f t="shared" si="9"/>
        <v>-275265.19329374947</v>
      </c>
      <c r="O24" s="142">
        <f t="shared" si="9"/>
        <v>-280770.49715962447</v>
      </c>
      <c r="P24" s="58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75"/>
      <c r="C25" s="55"/>
      <c r="D25" s="76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8"/>
      <c r="B26" s="77" t="s">
        <v>184</v>
      </c>
      <c r="C26" s="77"/>
      <c r="D26" s="78"/>
      <c r="E26" s="144">
        <f t="shared" ref="E26:O26" si="10">+E17+E24</f>
        <v>514450.4</v>
      </c>
      <c r="F26" s="144">
        <f t="shared" si="10"/>
        <v>528463.30799999984</v>
      </c>
      <c r="G26" s="144">
        <f t="shared" si="10"/>
        <v>542849.57165999978</v>
      </c>
      <c r="H26" s="144">
        <f t="shared" si="10"/>
        <v>557618.9855306996</v>
      </c>
      <c r="I26" s="144">
        <f t="shared" si="10"/>
        <v>572781.59823975107</v>
      </c>
      <c r="J26" s="144">
        <f t="shared" si="10"/>
        <v>588347.71902794437</v>
      </c>
      <c r="K26" s="144">
        <f t="shared" si="10"/>
        <v>604327.92445248668</v>
      </c>
      <c r="L26" s="144">
        <f t="shared" si="10"/>
        <v>620733.06526161917</v>
      </c>
      <c r="M26" s="144">
        <f t="shared" si="10"/>
        <v>637574.27344493661</v>
      </c>
      <c r="N26" s="144">
        <f t="shared" si="10"/>
        <v>654862.96946387249</v>
      </c>
      <c r="O26" s="144">
        <f t="shared" si="10"/>
        <v>672610.86966693797</v>
      </c>
      <c r="P26" s="58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2.75" customHeight="1">
      <c r="A27" s="55"/>
      <c r="B27" s="75"/>
      <c r="C27" s="55"/>
      <c r="D27" s="76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5"/>
      <c r="B28" s="57" t="s">
        <v>29</v>
      </c>
      <c r="C28" s="55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5"/>
      <c r="B29" s="60" t="s">
        <v>31</v>
      </c>
      <c r="C29" s="58"/>
      <c r="D29" s="65"/>
      <c r="E29" s="145">
        <f>+-Overview!M22</f>
        <v>-19200</v>
      </c>
      <c r="F29" s="145">
        <f t="shared" ref="F29:O29" si="11">+E29*(1+F$10)</f>
        <v>-19584</v>
      </c>
      <c r="G29" s="145">
        <f t="shared" si="11"/>
        <v>-19975.68</v>
      </c>
      <c r="H29" s="145">
        <f t="shared" si="11"/>
        <v>-20375.193600000002</v>
      </c>
      <c r="I29" s="145">
        <f t="shared" si="11"/>
        <v>-20782.697472000003</v>
      </c>
      <c r="J29" s="145">
        <f t="shared" si="11"/>
        <v>-21198.351421440006</v>
      </c>
      <c r="K29" s="145">
        <f t="shared" si="11"/>
        <v>-21622.318449868806</v>
      </c>
      <c r="L29" s="145">
        <f t="shared" si="11"/>
        <v>-22054.764818866184</v>
      </c>
      <c r="M29" s="145">
        <f t="shared" si="11"/>
        <v>-22495.860115243508</v>
      </c>
      <c r="N29" s="145">
        <f t="shared" si="11"/>
        <v>-22945.777317548378</v>
      </c>
      <c r="O29" s="145">
        <f t="shared" si="11"/>
        <v>-23404.692863899345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5"/>
      <c r="B30" s="60" t="s">
        <v>33</v>
      </c>
      <c r="C30" s="58"/>
      <c r="D30" s="67"/>
      <c r="E30" s="145">
        <f>+-Overview!M23</f>
        <v>-6360</v>
      </c>
      <c r="F30" s="145">
        <f t="shared" ref="F30:O30" si="12">+E30*(1+F$10)</f>
        <v>-6487.2</v>
      </c>
      <c r="G30" s="145">
        <f t="shared" si="12"/>
        <v>-6616.9439999999995</v>
      </c>
      <c r="H30" s="145">
        <f t="shared" si="12"/>
        <v>-6749.2828799999997</v>
      </c>
      <c r="I30" s="145">
        <f t="shared" si="12"/>
        <v>-6884.2685375999999</v>
      </c>
      <c r="J30" s="145">
        <f t="shared" si="12"/>
        <v>-7021.9539083520003</v>
      </c>
      <c r="K30" s="145">
        <f t="shared" si="12"/>
        <v>-7162.3929865190403</v>
      </c>
      <c r="L30" s="145">
        <f t="shared" si="12"/>
        <v>-7305.640846249421</v>
      </c>
      <c r="M30" s="145">
        <f t="shared" si="12"/>
        <v>-7451.7536631744097</v>
      </c>
      <c r="N30" s="145">
        <f t="shared" si="12"/>
        <v>-7600.7887364378976</v>
      </c>
      <c r="O30" s="145">
        <f t="shared" si="12"/>
        <v>-7752.8045111666561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5"/>
      <c r="B31" s="60" t="s">
        <v>35</v>
      </c>
      <c r="C31" s="58"/>
      <c r="D31" s="67"/>
      <c r="E31" s="145">
        <f>+-Overview!M24</f>
        <v>0</v>
      </c>
      <c r="F31" s="145">
        <f t="shared" ref="F31:O31" si="13">+E31*(1+F$10)</f>
        <v>0</v>
      </c>
      <c r="G31" s="145">
        <f t="shared" si="13"/>
        <v>0</v>
      </c>
      <c r="H31" s="145">
        <f t="shared" si="13"/>
        <v>0</v>
      </c>
      <c r="I31" s="145">
        <f t="shared" si="13"/>
        <v>0</v>
      </c>
      <c r="J31" s="145">
        <f t="shared" si="13"/>
        <v>0</v>
      </c>
      <c r="K31" s="145">
        <f t="shared" si="13"/>
        <v>0</v>
      </c>
      <c r="L31" s="145">
        <f t="shared" si="13"/>
        <v>0</v>
      </c>
      <c r="M31" s="145">
        <f t="shared" si="13"/>
        <v>0</v>
      </c>
      <c r="N31" s="145">
        <f t="shared" si="13"/>
        <v>0</v>
      </c>
      <c r="O31" s="145">
        <f t="shared" si="13"/>
        <v>0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5"/>
      <c r="B32" s="60" t="s">
        <v>37</v>
      </c>
      <c r="C32" s="58"/>
      <c r="D32" s="67"/>
      <c r="E32" s="145">
        <f>+-Overview!M25</f>
        <v>-17994.5</v>
      </c>
      <c r="F32" s="145">
        <f t="shared" ref="F32:O32" si="14">+E32*(1+F$10)</f>
        <v>-18354.39</v>
      </c>
      <c r="G32" s="145">
        <f t="shared" si="14"/>
        <v>-18721.477800000001</v>
      </c>
      <c r="H32" s="145">
        <f t="shared" si="14"/>
        <v>-19095.907356</v>
      </c>
      <c r="I32" s="145">
        <f t="shared" si="14"/>
        <v>-19477.825503119999</v>
      </c>
      <c r="J32" s="145">
        <f t="shared" si="14"/>
        <v>-19867.3820131824</v>
      </c>
      <c r="K32" s="145">
        <f t="shared" si="14"/>
        <v>-20264.729653446047</v>
      </c>
      <c r="L32" s="145">
        <f t="shared" si="14"/>
        <v>-20670.024246514968</v>
      </c>
      <c r="M32" s="145">
        <f t="shared" si="14"/>
        <v>-21083.424731445266</v>
      </c>
      <c r="N32" s="145">
        <f t="shared" si="14"/>
        <v>-21505.093226074172</v>
      </c>
      <c r="O32" s="145">
        <f t="shared" si="14"/>
        <v>-21935.195090595655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5"/>
      <c r="B33" s="60" t="s">
        <v>40</v>
      </c>
      <c r="C33" s="58"/>
      <c r="D33" s="67"/>
      <c r="E33" s="145">
        <f>+-Overview!M26</f>
        <v>-21593.399999999998</v>
      </c>
      <c r="F33" s="145">
        <f t="shared" ref="F33:O33" si="15">+E33*(1+F$10)</f>
        <v>-22025.267999999996</v>
      </c>
      <c r="G33" s="145">
        <f t="shared" si="15"/>
        <v>-22465.773359999996</v>
      </c>
      <c r="H33" s="145">
        <f t="shared" si="15"/>
        <v>-22915.088827199997</v>
      </c>
      <c r="I33" s="145">
        <f t="shared" si="15"/>
        <v>-23373.390603743999</v>
      </c>
      <c r="J33" s="145">
        <f t="shared" si="15"/>
        <v>-23840.858415818879</v>
      </c>
      <c r="K33" s="145">
        <f t="shared" si="15"/>
        <v>-24317.675584135257</v>
      </c>
      <c r="L33" s="145">
        <f t="shared" si="15"/>
        <v>-24804.029095817961</v>
      </c>
      <c r="M33" s="145">
        <f t="shared" si="15"/>
        <v>-25300.109677734319</v>
      </c>
      <c r="N33" s="145">
        <f t="shared" si="15"/>
        <v>-25806.111871289006</v>
      </c>
      <c r="O33" s="145">
        <f t="shared" si="15"/>
        <v>-26322.234108714787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60" t="s">
        <v>42</v>
      </c>
      <c r="C34" s="58"/>
      <c r="D34" s="67"/>
      <c r="E34" s="145">
        <f>+-Overview!M27</f>
        <v>-600</v>
      </c>
      <c r="F34" s="145">
        <f t="shared" ref="F34:O34" si="16">+E34*(1+F$10)</f>
        <v>-612</v>
      </c>
      <c r="G34" s="145">
        <f t="shared" si="16"/>
        <v>-624.24</v>
      </c>
      <c r="H34" s="145">
        <f t="shared" si="16"/>
        <v>-636.72480000000007</v>
      </c>
      <c r="I34" s="145">
        <f t="shared" si="16"/>
        <v>-649.45929600000011</v>
      </c>
      <c r="J34" s="145">
        <f t="shared" si="16"/>
        <v>-662.44848192000018</v>
      </c>
      <c r="K34" s="145">
        <f t="shared" si="16"/>
        <v>-675.69745155840019</v>
      </c>
      <c r="L34" s="145">
        <f t="shared" si="16"/>
        <v>-689.21140058956826</v>
      </c>
      <c r="M34" s="145">
        <f t="shared" si="16"/>
        <v>-702.99562860135961</v>
      </c>
      <c r="N34" s="145">
        <f t="shared" si="16"/>
        <v>-717.05554117338681</v>
      </c>
      <c r="O34" s="145">
        <f t="shared" si="16"/>
        <v>-731.39665199685453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8"/>
      <c r="B35" s="68" t="s">
        <v>26</v>
      </c>
      <c r="C35" s="69"/>
      <c r="D35" s="70"/>
      <c r="E35" s="142">
        <f t="shared" ref="E35:O35" si="17">+SUM(E29:E34)</f>
        <v>-65747.899999999994</v>
      </c>
      <c r="F35" s="142">
        <f t="shared" si="17"/>
        <v>-67062.857999999993</v>
      </c>
      <c r="G35" s="142">
        <f t="shared" si="17"/>
        <v>-68404.115160000001</v>
      </c>
      <c r="H35" s="142">
        <f t="shared" si="17"/>
        <v>-69772.197463199991</v>
      </c>
      <c r="I35" s="142">
        <f t="shared" si="17"/>
        <v>-71167.641412464</v>
      </c>
      <c r="J35" s="142">
        <f t="shared" si="17"/>
        <v>-72590.994240713277</v>
      </c>
      <c r="K35" s="142">
        <f t="shared" si="17"/>
        <v>-74042.814125527555</v>
      </c>
      <c r="L35" s="142">
        <f t="shared" si="17"/>
        <v>-75523.670408038117</v>
      </c>
      <c r="M35" s="142">
        <f t="shared" si="17"/>
        <v>-77034.143816198863</v>
      </c>
      <c r="N35" s="142">
        <f t="shared" si="17"/>
        <v>-78574.826692522838</v>
      </c>
      <c r="O35" s="142">
        <f t="shared" si="17"/>
        <v>-80146.323226373293</v>
      </c>
      <c r="P35" s="58"/>
      <c r="Q35" s="58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8"/>
      <c r="B36" s="58"/>
      <c r="C36" s="58"/>
      <c r="D36" s="61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58"/>
      <c r="Q36" s="58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8"/>
      <c r="B37" s="77" t="s">
        <v>46</v>
      </c>
      <c r="C37" s="77"/>
      <c r="D37" s="78"/>
      <c r="E37" s="144">
        <f t="shared" ref="E37:O37" si="18">+E26+E35</f>
        <v>448702.5</v>
      </c>
      <c r="F37" s="144">
        <f t="shared" si="18"/>
        <v>461400.44999999984</v>
      </c>
      <c r="G37" s="144">
        <f t="shared" si="18"/>
        <v>474445.4564999998</v>
      </c>
      <c r="H37" s="144">
        <f t="shared" si="18"/>
        <v>487846.78806749964</v>
      </c>
      <c r="I37" s="144">
        <f t="shared" si="18"/>
        <v>501613.9568272871</v>
      </c>
      <c r="J37" s="144">
        <f t="shared" si="18"/>
        <v>515756.72478723107</v>
      </c>
      <c r="K37" s="144">
        <f t="shared" si="18"/>
        <v>530285.11032695917</v>
      </c>
      <c r="L37" s="144">
        <f t="shared" si="18"/>
        <v>545209.39485358109</v>
      </c>
      <c r="M37" s="144">
        <f t="shared" si="18"/>
        <v>560540.12962873769</v>
      </c>
      <c r="N37" s="144">
        <f t="shared" si="18"/>
        <v>576288.14277134964</v>
      </c>
      <c r="O37" s="144">
        <f t="shared" si="18"/>
        <v>592464.54644056468</v>
      </c>
      <c r="P37" s="58"/>
      <c r="Q37" s="58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8"/>
      <c r="B38" s="71" t="s">
        <v>71</v>
      </c>
      <c r="C38" s="68"/>
      <c r="D38" s="70"/>
      <c r="E38" s="74">
        <f t="shared" ref="E38:O38" si="19">+IFERROR(E37/-$D$46,0)</f>
        <v>4.8416779066630701E-2</v>
      </c>
      <c r="F38" s="74">
        <f t="shared" si="19"/>
        <v>4.9786938224979753E-2</v>
      </c>
      <c r="G38" s="74">
        <f t="shared" si="19"/>
        <v>5.1194546155921207E-2</v>
      </c>
      <c r="H38" s="74">
        <f t="shared" si="19"/>
        <v>5.2640602974642528E-2</v>
      </c>
      <c r="I38" s="74">
        <f t="shared" si="19"/>
        <v>5.4126135077128365E-2</v>
      </c>
      <c r="J38" s="74">
        <f t="shared" si="19"/>
        <v>5.5652195822738719E-2</v>
      </c>
      <c r="K38" s="74">
        <f t="shared" si="19"/>
        <v>5.7219866234363009E-2</v>
      </c>
      <c r="L38" s="74">
        <f t="shared" si="19"/>
        <v>5.8830255716598986E-2</v>
      </c>
      <c r="M38" s="74">
        <f t="shared" si="19"/>
        <v>6.0484502792418418E-2</v>
      </c>
      <c r="N38" s="74">
        <f t="shared" si="19"/>
        <v>6.2183775858791437E-2</v>
      </c>
      <c r="O38" s="74">
        <f t="shared" si="19"/>
        <v>6.3929273961755018E-2</v>
      </c>
      <c r="P38" s="58"/>
      <c r="Q38" s="58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7" t="s">
        <v>30</v>
      </c>
      <c r="C40" s="55"/>
      <c r="D40" s="5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8" t="s">
        <v>34</v>
      </c>
      <c r="C41" s="58"/>
      <c r="D41" s="146">
        <f>+-IF(D$12=0,Sensitivities!$F$6,0)</f>
        <v>-6500000</v>
      </c>
      <c r="E41" s="146">
        <f>+-IF(E$12=0,Sensitivities!$F$6,0)</f>
        <v>0</v>
      </c>
      <c r="F41" s="146">
        <f>+-IF(F$12=0,Sensitivities!$F$6,0)</f>
        <v>0</v>
      </c>
      <c r="G41" s="146">
        <f>+-IF(G$12=0,Sensitivities!$F$6,0)</f>
        <v>0</v>
      </c>
      <c r="H41" s="146">
        <f>+-IF(H$12=0,Sensitivities!$F$6,0)</f>
        <v>0</v>
      </c>
      <c r="I41" s="146">
        <f>+-IF(I$12=0,Sensitivities!$F$6,0)</f>
        <v>0</v>
      </c>
      <c r="J41" s="146">
        <f>+-IF(J$12=0,Sensitivities!$F$6,0)</f>
        <v>0</v>
      </c>
      <c r="K41" s="146">
        <f>+-IF(K$12=0,Sensitivities!$F$6,0)</f>
        <v>0</v>
      </c>
      <c r="L41" s="146">
        <f>+-IF(L$12=0,Sensitivities!$F$6,0)</f>
        <v>0</v>
      </c>
      <c r="M41" s="146">
        <f>+-IF(M$12=0,Sensitivities!$F$6,0)</f>
        <v>0</v>
      </c>
      <c r="N41" s="146">
        <f>+-IF(N$12=0,Sensitivities!$F$6,0)</f>
        <v>0</v>
      </c>
      <c r="O41" s="146">
        <f>+-IF(O$12=0,Sensitivities!$F$6,0)</f>
        <v>0</v>
      </c>
      <c r="P41" s="58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8" t="s">
        <v>36</v>
      </c>
      <c r="C42" s="58"/>
      <c r="D42" s="146">
        <f>+-IF(D$12=0,Overview!$E25,0)</f>
        <v>-1007500</v>
      </c>
      <c r="E42" s="146">
        <f>+-IF(E$12=0,Overview!$E25,0)</f>
        <v>0</v>
      </c>
      <c r="F42" s="146">
        <f>+-IF(F$12=0,Overview!$E25,0)</f>
        <v>0</v>
      </c>
      <c r="G42" s="146">
        <f>+-IF(G$12=0,Overview!$E25,0)</f>
        <v>0</v>
      </c>
      <c r="H42" s="146">
        <f>+-IF(H$12=0,Overview!$E25,0)</f>
        <v>0</v>
      </c>
      <c r="I42" s="146">
        <f>+-IF(I$12=0,Overview!$E25,0)</f>
        <v>0</v>
      </c>
      <c r="J42" s="146">
        <f>+-IF(J$12=0,Overview!$E25,0)</f>
        <v>0</v>
      </c>
      <c r="K42" s="146">
        <f>+-IF(K$12=0,Overview!$E25,0)</f>
        <v>0</v>
      </c>
      <c r="L42" s="146">
        <f>+-IF(L$12=0,Overview!$E25,0)</f>
        <v>0</v>
      </c>
      <c r="M42" s="146">
        <f>+-IF(M$12=0,Overview!$E25,0)</f>
        <v>0</v>
      </c>
      <c r="N42" s="146">
        <f>+-IF(N$12=0,Overview!$E25,0)</f>
        <v>0</v>
      </c>
      <c r="O42" s="146">
        <f>+-IF(O$12=0,Overview!$E25,0)</f>
        <v>0</v>
      </c>
      <c r="P42" s="58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8" t="s">
        <v>38</v>
      </c>
      <c r="C43" s="58"/>
      <c r="D43" s="146">
        <f>+-IF(D$12=0,Sensitivities!$H$8,0)</f>
        <v>-1250000</v>
      </c>
      <c r="E43" s="146">
        <f>+-IF(E$12=0,Sensitivities!$H$8,0)</f>
        <v>0</v>
      </c>
      <c r="F43" s="146">
        <f>+-IF(F$12=0,Sensitivities!$H$8,0)</f>
        <v>0</v>
      </c>
      <c r="G43" s="146">
        <f>+-IF(G$12=0,Sensitivities!$H$8,0)</f>
        <v>0</v>
      </c>
      <c r="H43" s="146">
        <f>+-IF(H$12=0,Sensitivities!$H$8,0)</f>
        <v>0</v>
      </c>
      <c r="I43" s="146">
        <f>+-IF(I$12=0,Sensitivities!$H$8,0)</f>
        <v>0</v>
      </c>
      <c r="J43" s="146">
        <f>+-IF(J$12=0,Sensitivities!$H$8,0)</f>
        <v>0</v>
      </c>
      <c r="K43" s="146">
        <f>+-IF(K$12=0,Sensitivities!$H$8,0)</f>
        <v>0</v>
      </c>
      <c r="L43" s="146">
        <f>+-IF(L$12=0,Sensitivities!$H$8,0)</f>
        <v>0</v>
      </c>
      <c r="M43" s="146">
        <f>+-IF(M$12=0,Sensitivities!$H$8,0)</f>
        <v>0</v>
      </c>
      <c r="N43" s="146">
        <f>+-IF(N$12=0,Sensitivities!$H$8,0)</f>
        <v>0</v>
      </c>
      <c r="O43" s="146">
        <f>+-IF(O$12=0,Sensitivities!$H$8,0)</f>
        <v>0</v>
      </c>
      <c r="P43" s="58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8" t="s">
        <v>41</v>
      </c>
      <c r="C44" s="58"/>
      <c r="D44" s="146">
        <f>+-IF(D$12=0,Overview!$E27,0)</f>
        <v>-500000</v>
      </c>
      <c r="E44" s="146">
        <f>+-IF(E$12=0,Overview!$E27,0)</f>
        <v>0</v>
      </c>
      <c r="F44" s="146">
        <f>+-IF(F$12=0,Overview!$E27,0)</f>
        <v>0</v>
      </c>
      <c r="G44" s="146">
        <f>+-IF(G$12=0,Overview!$E27,0)</f>
        <v>0</v>
      </c>
      <c r="H44" s="146">
        <f>+-IF(H$12=0,Overview!$E27,0)</f>
        <v>0</v>
      </c>
      <c r="I44" s="146">
        <f>+-IF(I$12=0,Overview!$E27,0)</f>
        <v>0</v>
      </c>
      <c r="J44" s="146">
        <f>+-IF(J$12=0,Overview!$E27,0)</f>
        <v>0</v>
      </c>
      <c r="K44" s="146">
        <f>+-IF(K$12=0,Overview!$E27,0)</f>
        <v>0</v>
      </c>
      <c r="L44" s="146">
        <f>+-IF(L$12=0,Overview!$E27,0)</f>
        <v>0</v>
      </c>
      <c r="M44" s="146">
        <f>+-IF(M$12=0,Overview!$E27,0)</f>
        <v>0</v>
      </c>
      <c r="N44" s="146">
        <f>+-IF(N$12=0,Overview!$E27,0)</f>
        <v>0</v>
      </c>
      <c r="O44" s="146">
        <f>+-IF(O$12=0,Overview!$E27,0)</f>
        <v>0</v>
      </c>
      <c r="P44" s="58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8" t="s">
        <v>43</v>
      </c>
      <c r="C45" s="58"/>
      <c r="D45" s="146">
        <f>+-IF(D$12=0,Overview!$E28,0)</f>
        <v>-10000</v>
      </c>
      <c r="E45" s="146">
        <f>+-IF(E$12=0,Overview!$E28,0)</f>
        <v>0</v>
      </c>
      <c r="F45" s="146">
        <f>+-IF(F$12=0,Overview!$E28,0)</f>
        <v>0</v>
      </c>
      <c r="G45" s="146">
        <f>+-IF(G$12=0,Overview!$E28,0)</f>
        <v>0</v>
      </c>
      <c r="H45" s="146">
        <f>+-IF(H$12=0,Overview!$E28,0)</f>
        <v>0</v>
      </c>
      <c r="I45" s="146">
        <f>+-IF(I$12=0,Overview!$E28,0)</f>
        <v>0</v>
      </c>
      <c r="J45" s="146">
        <f>+-IF(J$12=0,Overview!$E28,0)</f>
        <v>0</v>
      </c>
      <c r="K45" s="146">
        <f>+-IF(K$12=0,Overview!$E28,0)</f>
        <v>0</v>
      </c>
      <c r="L45" s="146">
        <f>+-IF(L$12=0,Overview!$E28,0)</f>
        <v>0</v>
      </c>
      <c r="M45" s="146">
        <f>+-IF(M$12=0,Overview!$E28,0)</f>
        <v>0</v>
      </c>
      <c r="N45" s="146">
        <f>+-IF(N$12=0,Overview!$E28,0)</f>
        <v>0</v>
      </c>
      <c r="O45" s="146">
        <f>+-IF(O$12=0,Overview!$E28,0)</f>
        <v>0</v>
      </c>
      <c r="P45" s="58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79" t="s">
        <v>45</v>
      </c>
      <c r="C46" s="79"/>
      <c r="D46" s="147">
        <f t="shared" ref="D46:O46" si="20">+SUM(D41:D45)</f>
        <v>-9267500</v>
      </c>
      <c r="E46" s="147">
        <f t="shared" si="20"/>
        <v>0</v>
      </c>
      <c r="F46" s="147">
        <f t="shared" si="20"/>
        <v>0</v>
      </c>
      <c r="G46" s="147">
        <f t="shared" si="20"/>
        <v>0</v>
      </c>
      <c r="H46" s="147">
        <f t="shared" si="20"/>
        <v>0</v>
      </c>
      <c r="I46" s="147">
        <f t="shared" si="20"/>
        <v>0</v>
      </c>
      <c r="J46" s="147">
        <f t="shared" si="20"/>
        <v>0</v>
      </c>
      <c r="K46" s="147">
        <f t="shared" si="20"/>
        <v>0</v>
      </c>
      <c r="L46" s="147">
        <f t="shared" si="20"/>
        <v>0</v>
      </c>
      <c r="M46" s="147">
        <f t="shared" si="20"/>
        <v>0</v>
      </c>
      <c r="N46" s="147">
        <f t="shared" si="20"/>
        <v>0</v>
      </c>
      <c r="O46" s="147">
        <f t="shared" si="2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7" t="s">
        <v>72</v>
      </c>
      <c r="C48" s="55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8" t="s">
        <v>73</v>
      </c>
      <c r="C49" s="58"/>
      <c r="D49" s="146"/>
      <c r="E49" s="146">
        <f t="shared" ref="E49:O49" si="21">+-IF(E$12&lt;&gt;$C$3,0,IF(E$12=$C$3,IF($C$5="Appreciation",$D$41*(1+$C$6)^($C$3),-IF($C$5="Cap Rate",F$37/$C$6,0))))</f>
        <v>0</v>
      </c>
      <c r="F49" s="146">
        <f t="shared" si="21"/>
        <v>0</v>
      </c>
      <c r="G49" s="146">
        <f t="shared" si="21"/>
        <v>0</v>
      </c>
      <c r="H49" s="146">
        <f t="shared" si="21"/>
        <v>0</v>
      </c>
      <c r="I49" s="146">
        <f t="shared" si="21"/>
        <v>0</v>
      </c>
      <c r="J49" s="146">
        <f t="shared" si="21"/>
        <v>0</v>
      </c>
      <c r="K49" s="146">
        <f t="shared" si="21"/>
        <v>0</v>
      </c>
      <c r="L49" s="146">
        <f t="shared" si="21"/>
        <v>0</v>
      </c>
      <c r="M49" s="146">
        <f t="shared" si="21"/>
        <v>0</v>
      </c>
      <c r="N49" s="146">
        <f t="shared" si="21"/>
        <v>14033012.48227312</v>
      </c>
      <c r="O49" s="146">
        <f t="shared" si="21"/>
        <v>0</v>
      </c>
      <c r="P49" s="58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8" t="s">
        <v>64</v>
      </c>
      <c r="C50" s="58"/>
      <c r="D50" s="146"/>
      <c r="E50" s="146">
        <f t="shared" ref="E50:O50" si="22">+-E49*$C$4</f>
        <v>0</v>
      </c>
      <c r="F50" s="146">
        <f t="shared" si="22"/>
        <v>0</v>
      </c>
      <c r="G50" s="146">
        <f t="shared" si="22"/>
        <v>0</v>
      </c>
      <c r="H50" s="146">
        <f t="shared" si="22"/>
        <v>0</v>
      </c>
      <c r="I50" s="146">
        <f t="shared" si="22"/>
        <v>0</v>
      </c>
      <c r="J50" s="146">
        <f t="shared" si="22"/>
        <v>0</v>
      </c>
      <c r="K50" s="146">
        <f t="shared" si="22"/>
        <v>0</v>
      </c>
      <c r="L50" s="146">
        <f t="shared" si="22"/>
        <v>0</v>
      </c>
      <c r="M50" s="146">
        <f t="shared" si="22"/>
        <v>0</v>
      </c>
      <c r="N50" s="146">
        <f t="shared" si="22"/>
        <v>-561320.49929092487</v>
      </c>
      <c r="O50" s="146">
        <f t="shared" si="22"/>
        <v>0</v>
      </c>
      <c r="P50" s="58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79" t="s">
        <v>74</v>
      </c>
      <c r="C51" s="79"/>
      <c r="D51" s="147"/>
      <c r="E51" s="147">
        <f t="shared" ref="E51:O51" si="23">+SUM(E49:E50)</f>
        <v>0</v>
      </c>
      <c r="F51" s="147">
        <f t="shared" si="23"/>
        <v>0</v>
      </c>
      <c r="G51" s="147">
        <f t="shared" si="23"/>
        <v>0</v>
      </c>
      <c r="H51" s="147">
        <f t="shared" si="23"/>
        <v>0</v>
      </c>
      <c r="I51" s="147">
        <f t="shared" si="23"/>
        <v>0</v>
      </c>
      <c r="J51" s="147">
        <f t="shared" si="23"/>
        <v>0</v>
      </c>
      <c r="K51" s="147">
        <f t="shared" si="23"/>
        <v>0</v>
      </c>
      <c r="L51" s="147">
        <f t="shared" si="23"/>
        <v>0</v>
      </c>
      <c r="M51" s="147">
        <f t="shared" si="23"/>
        <v>0</v>
      </c>
      <c r="N51" s="147">
        <f t="shared" si="23"/>
        <v>13471691.982982196</v>
      </c>
      <c r="O51" s="147">
        <f t="shared" si="23"/>
        <v>0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8"/>
      <c r="B53" s="77" t="s">
        <v>75</v>
      </c>
      <c r="C53" s="77"/>
      <c r="D53" s="149">
        <f t="shared" ref="D53:O53" si="24">+IF(D12&lt;=$C$3,D37+D46+D51,0)</f>
        <v>-9267500</v>
      </c>
      <c r="E53" s="149">
        <f t="shared" si="24"/>
        <v>448702.5</v>
      </c>
      <c r="F53" s="149">
        <f t="shared" si="24"/>
        <v>461400.44999999984</v>
      </c>
      <c r="G53" s="149">
        <f t="shared" si="24"/>
        <v>474445.4564999998</v>
      </c>
      <c r="H53" s="149">
        <f t="shared" si="24"/>
        <v>487846.78806749964</v>
      </c>
      <c r="I53" s="149">
        <f t="shared" si="24"/>
        <v>501613.9568272871</v>
      </c>
      <c r="J53" s="149">
        <f t="shared" si="24"/>
        <v>515756.72478723107</v>
      </c>
      <c r="K53" s="149">
        <f t="shared" si="24"/>
        <v>530285.11032695917</v>
      </c>
      <c r="L53" s="149">
        <f t="shared" si="24"/>
        <v>545209.39485358109</v>
      </c>
      <c r="M53" s="149">
        <f t="shared" si="24"/>
        <v>560540.12962873769</v>
      </c>
      <c r="N53" s="149">
        <f t="shared" si="24"/>
        <v>14047980.125753546</v>
      </c>
      <c r="O53" s="149">
        <f t="shared" si="24"/>
        <v>0</v>
      </c>
      <c r="P53" s="58"/>
      <c r="Q53" s="58"/>
      <c r="R53" s="58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8"/>
      <c r="B54" s="58"/>
      <c r="C54" s="5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58"/>
      <c r="Q54" s="58"/>
      <c r="R54" s="58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8"/>
      <c r="B55" s="77" t="s">
        <v>76</v>
      </c>
      <c r="C55" s="80">
        <f>+IFERROR(IRR(D53:O53),0)</f>
        <v>8.4670705565294435E-2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58"/>
      <c r="Q55" s="58"/>
      <c r="R55" s="58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8"/>
      <c r="B56" s="77" t="s">
        <v>77</v>
      </c>
      <c r="C56" s="150">
        <f>+SUM(D53:O53)</f>
        <v>9306280.6367448419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8"/>
      <c r="Q56" s="58"/>
      <c r="R56" s="58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8"/>
      <c r="B57" s="77" t="s">
        <v>78</v>
      </c>
      <c r="C57" s="81">
        <f>+IFERROR(SUMIF(D53:O53,"&gt;0")/-SUMIF(D53:O53,"&lt;0"),0)</f>
        <v>2.0041845844882484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58"/>
      <c r="Q57" s="58"/>
      <c r="R57" s="58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8"/>
      <c r="B58" s="58"/>
      <c r="C58" s="5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58"/>
      <c r="Q58" s="58"/>
      <c r="R58" s="58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8"/>
      <c r="B59" s="58" t="s">
        <v>79</v>
      </c>
      <c r="C59" s="58"/>
      <c r="D59" s="151">
        <f t="shared" ref="D59:O59" si="25">+IF(D12=0,0,C63)</f>
        <v>0</v>
      </c>
      <c r="E59" s="151">
        <f t="shared" si="25"/>
        <v>3900000</v>
      </c>
      <c r="F59" s="151">
        <f t="shared" si="25"/>
        <v>3900000</v>
      </c>
      <c r="G59" s="151">
        <f t="shared" si="25"/>
        <v>3900000</v>
      </c>
      <c r="H59" s="151">
        <f t="shared" si="25"/>
        <v>3900000</v>
      </c>
      <c r="I59" s="151">
        <f t="shared" si="25"/>
        <v>3900000</v>
      </c>
      <c r="J59" s="151">
        <f t="shared" si="25"/>
        <v>3900000</v>
      </c>
      <c r="K59" s="151">
        <f t="shared" si="25"/>
        <v>3900000</v>
      </c>
      <c r="L59" s="151">
        <f t="shared" si="25"/>
        <v>3900000</v>
      </c>
      <c r="M59" s="151">
        <f t="shared" si="25"/>
        <v>3900000</v>
      </c>
      <c r="N59" s="151">
        <f t="shared" si="25"/>
        <v>3900000</v>
      </c>
      <c r="O59" s="151">
        <f t="shared" si="25"/>
        <v>0</v>
      </c>
      <c r="P59" s="58"/>
      <c r="Q59" s="58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8"/>
      <c r="B60" s="58" t="s">
        <v>80</v>
      </c>
      <c r="C60" s="58"/>
      <c r="D60" s="151">
        <f>+IF(D12=0,Overview!$E$34,0)</f>
        <v>3900000</v>
      </c>
      <c r="E60" s="151">
        <f>+IF(E12=0,Overview!$E$34,0)</f>
        <v>0</v>
      </c>
      <c r="F60" s="151">
        <f>+IF(F12=0,Overview!$E$34,0)</f>
        <v>0</v>
      </c>
      <c r="G60" s="151">
        <f>+IF(G12=0,Overview!$E$34,0)</f>
        <v>0</v>
      </c>
      <c r="H60" s="151">
        <f>+IF(H12=0,Overview!$E$34,0)</f>
        <v>0</v>
      </c>
      <c r="I60" s="151">
        <f>+IF(I12=0,Overview!$E$34,0)</f>
        <v>0</v>
      </c>
      <c r="J60" s="151">
        <f>+IF(J12=0,Overview!$E$34,0)</f>
        <v>0</v>
      </c>
      <c r="K60" s="151">
        <f>+IF(K12=0,Overview!$E$34,0)</f>
        <v>0</v>
      </c>
      <c r="L60" s="151">
        <f>+IF(L12=0,Overview!$E$34,0)</f>
        <v>0</v>
      </c>
      <c r="M60" s="151">
        <f>+IF(M12=0,Overview!$E$34,0)</f>
        <v>0</v>
      </c>
      <c r="N60" s="151">
        <f>+IF(N12=0,Overview!$E$34,0)</f>
        <v>0</v>
      </c>
      <c r="O60" s="151">
        <f>+IF(O12=0,Overview!$E$34,0)</f>
        <v>0</v>
      </c>
      <c r="P60" s="58"/>
      <c r="Q60" s="58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8"/>
      <c r="B61" s="58" t="s">
        <v>81</v>
      </c>
      <c r="C61" s="58"/>
      <c r="D61" s="151">
        <f>+IFERROR(IF(D12&gt;$C$3,0,IF(Overview!$E$37="Amortization",PPMT(Overview!$E$36,'Annual CFs'!D$12,Overview!$E$38,Overview!$E$34),0)),0)</f>
        <v>0</v>
      </c>
      <c r="E61" s="151">
        <f>+IFERROR(IF(E12&gt;$C$3,0,IF(Overview!$E$37="Amortization",PPMT(Overview!$E$36,'Annual CFs'!E$12,Overview!$E$38,Overview!$E$34),0)),0)</f>
        <v>0</v>
      </c>
      <c r="F61" s="151">
        <f>+IFERROR(IF(F12&gt;$C$3,0,IF(Overview!$E$37="Amortization",PPMT(Overview!$E$36,'Annual CFs'!F$12,Overview!$E$38,Overview!$E$34),0)),0)</f>
        <v>0</v>
      </c>
      <c r="G61" s="151">
        <f>+IFERROR(IF(G12&gt;$C$3,0,IF(Overview!$E$37="Amortization",PPMT(Overview!$E$36,'Annual CFs'!G$12,Overview!$E$38,Overview!$E$34),0)),0)</f>
        <v>0</v>
      </c>
      <c r="H61" s="151">
        <f>+IFERROR(IF(H12&gt;$C$3,0,IF(Overview!$E$37="Amortization",PPMT(Overview!$E$36,'Annual CFs'!H$12,Overview!$E$38,Overview!$E$34),0)),0)</f>
        <v>0</v>
      </c>
      <c r="I61" s="151">
        <f>+IFERROR(IF(I12&gt;$C$3,0,IF(Overview!$E$37="Amortization",PPMT(Overview!$E$36,'Annual CFs'!I$12,Overview!$E$38,Overview!$E$34),0)),0)</f>
        <v>0</v>
      </c>
      <c r="J61" s="151">
        <f>+IFERROR(IF(J12&gt;$C$3,0,IF(Overview!$E$37="Amortization",PPMT(Overview!$E$36,'Annual CFs'!J$12,Overview!$E$38,Overview!$E$34),0)),0)</f>
        <v>0</v>
      </c>
      <c r="K61" s="151">
        <f>+IFERROR(IF(K12&gt;$C$3,0,IF(Overview!$E$37="Amortization",PPMT(Overview!$E$36,'Annual CFs'!K$12,Overview!$E$38,Overview!$E$34),0)),0)</f>
        <v>0</v>
      </c>
      <c r="L61" s="151">
        <f>+IFERROR(IF(L12&gt;$C$3,0,IF(Overview!$E$37="Amortization",PPMT(Overview!$E$36,'Annual CFs'!L$12,Overview!$E$38,Overview!$E$34),0)),0)</f>
        <v>0</v>
      </c>
      <c r="M61" s="151">
        <f>+IFERROR(IF(M12&gt;$C$3,0,IF(Overview!$E$37="Amortization",PPMT(Overview!$E$36,'Annual CFs'!M$12,Overview!$E$38,Overview!$E$34),0)),0)</f>
        <v>0</v>
      </c>
      <c r="N61" s="151">
        <f>+IFERROR(IF(N12&gt;$C$3,0,IF(Overview!$E$37="Amortization",PPMT(Overview!$E$36,'Annual CFs'!N$12,Overview!$E$38,Overview!$E$34),0)),0)</f>
        <v>0</v>
      </c>
      <c r="O61" s="151">
        <f>+IFERROR(IF(O12&gt;$C$3,0,IF(Overview!$E$37="Amortization",PPMT(Overview!$E$36,'Annual CFs'!O$12,Overview!$E$38,Overview!$E$34),0)),0)</f>
        <v>0</v>
      </c>
      <c r="P61" s="58"/>
      <c r="Q61" s="58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8"/>
      <c r="B62" s="58" t="s">
        <v>82</v>
      </c>
      <c r="C62" s="58"/>
      <c r="D62" s="151">
        <f t="shared" ref="D62:O62" si="26">+IF(D12=$C$3,-SUM(D59:D61),0)</f>
        <v>0</v>
      </c>
      <c r="E62" s="151">
        <f t="shared" si="26"/>
        <v>0</v>
      </c>
      <c r="F62" s="151">
        <f t="shared" si="26"/>
        <v>0</v>
      </c>
      <c r="G62" s="151">
        <f t="shared" si="26"/>
        <v>0</v>
      </c>
      <c r="H62" s="151">
        <f t="shared" si="26"/>
        <v>0</v>
      </c>
      <c r="I62" s="151">
        <f t="shared" si="26"/>
        <v>0</v>
      </c>
      <c r="J62" s="151">
        <f t="shared" si="26"/>
        <v>0</v>
      </c>
      <c r="K62" s="151">
        <f t="shared" si="26"/>
        <v>0</v>
      </c>
      <c r="L62" s="151">
        <f t="shared" si="26"/>
        <v>0</v>
      </c>
      <c r="M62" s="151">
        <f t="shared" si="26"/>
        <v>0</v>
      </c>
      <c r="N62" s="151">
        <f t="shared" si="26"/>
        <v>-3900000</v>
      </c>
      <c r="O62" s="151">
        <f t="shared" si="26"/>
        <v>0</v>
      </c>
      <c r="P62" s="58"/>
      <c r="Q62" s="58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8"/>
      <c r="B63" s="58" t="s">
        <v>83</v>
      </c>
      <c r="C63" s="58"/>
      <c r="D63" s="151">
        <f t="shared" ref="D63:O63" si="27">+SUM(D59:D62)</f>
        <v>3900000</v>
      </c>
      <c r="E63" s="151">
        <f t="shared" si="27"/>
        <v>3900000</v>
      </c>
      <c r="F63" s="151">
        <f t="shared" si="27"/>
        <v>3900000</v>
      </c>
      <c r="G63" s="151">
        <f t="shared" si="27"/>
        <v>3900000</v>
      </c>
      <c r="H63" s="151">
        <f t="shared" si="27"/>
        <v>3900000</v>
      </c>
      <c r="I63" s="151">
        <f t="shared" si="27"/>
        <v>3900000</v>
      </c>
      <c r="J63" s="151">
        <f t="shared" si="27"/>
        <v>3900000</v>
      </c>
      <c r="K63" s="151">
        <f t="shared" si="27"/>
        <v>3900000</v>
      </c>
      <c r="L63" s="151">
        <f t="shared" si="27"/>
        <v>3900000</v>
      </c>
      <c r="M63" s="151">
        <f t="shared" si="27"/>
        <v>3900000</v>
      </c>
      <c r="N63" s="151">
        <f t="shared" si="27"/>
        <v>0</v>
      </c>
      <c r="O63" s="151">
        <f t="shared" si="27"/>
        <v>0</v>
      </c>
      <c r="P63" s="58"/>
      <c r="Q63" s="58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8"/>
      <c r="B64" s="58"/>
      <c r="C64" s="58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58"/>
      <c r="Q64" s="58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8"/>
      <c r="B65" s="82" t="s">
        <v>84</v>
      </c>
      <c r="C65" s="58"/>
      <c r="D65" s="151">
        <f>+IFERROR(IF(D12&gt;0,-SUM(D59:D60)*Overview!$E$36,0),0)</f>
        <v>0</v>
      </c>
      <c r="E65" s="151">
        <f>+IFERROR(IF(E12&gt;0,-SUM(E59:E60)*Overview!$E$36,0),0)</f>
        <v>-146250</v>
      </c>
      <c r="F65" s="151">
        <f>+IFERROR(IF(F12&gt;0,-SUM(F59:F60)*Overview!$E$36,0),0)</f>
        <v>-146250</v>
      </c>
      <c r="G65" s="151">
        <f>+IFERROR(IF(G12&gt;0,-SUM(G59:G60)*Overview!$E$36,0),0)</f>
        <v>-146250</v>
      </c>
      <c r="H65" s="151">
        <f>+IFERROR(IF(H12&gt;0,-SUM(H59:H60)*Overview!$E$36,0),0)</f>
        <v>-146250</v>
      </c>
      <c r="I65" s="151">
        <f>+IFERROR(IF(I12&gt;0,-SUM(I59:I60)*Overview!$E$36,0),0)</f>
        <v>-146250</v>
      </c>
      <c r="J65" s="151">
        <f>+IFERROR(IF(J12&gt;0,-SUM(J59:J60)*Overview!$E$36,0),0)</f>
        <v>-146250</v>
      </c>
      <c r="K65" s="151">
        <f>+IFERROR(IF(K12&gt;0,-SUM(K59:K60)*Overview!$E$36,0),0)</f>
        <v>-146250</v>
      </c>
      <c r="L65" s="151">
        <f>+IFERROR(IF(L12&gt;0,-SUM(L59:L60)*Overview!$E$36,0),0)</f>
        <v>-146250</v>
      </c>
      <c r="M65" s="151">
        <f>+IFERROR(IF(M12&gt;0,-SUM(M59:M60)*Overview!$E$36,0),0)</f>
        <v>-146250</v>
      </c>
      <c r="N65" s="151">
        <f>+IFERROR(IF(N12&gt;0,-SUM(N59:N60)*Overview!$E$36,0),0)</f>
        <v>-146250</v>
      </c>
      <c r="O65" s="151">
        <f>+IFERROR(IF(O12&gt;0,-SUM(O59:O60)*Overview!$E$36,0),0)</f>
        <v>0</v>
      </c>
      <c r="P65" s="58"/>
      <c r="Q65" s="58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8"/>
      <c r="B66" s="82" t="s">
        <v>85</v>
      </c>
      <c r="C66" s="58"/>
      <c r="D66" s="151">
        <f>+-D60*Overview!$D$35</f>
        <v>-117000</v>
      </c>
      <c r="E66" s="151">
        <f>+-E60*Overview!$D$35</f>
        <v>0</v>
      </c>
      <c r="F66" s="151">
        <f>+-F60*Overview!$D$35</f>
        <v>0</v>
      </c>
      <c r="G66" s="151">
        <f>+-G60*Overview!$D$35</f>
        <v>0</v>
      </c>
      <c r="H66" s="151">
        <f>+-H60*Overview!$D$35</f>
        <v>0</v>
      </c>
      <c r="I66" s="151">
        <f>+-I60*Overview!$D$35</f>
        <v>0</v>
      </c>
      <c r="J66" s="151">
        <f>+-J60*Overview!$D$35</f>
        <v>0</v>
      </c>
      <c r="K66" s="151">
        <f>+-K60*Overview!$D$35</f>
        <v>0</v>
      </c>
      <c r="L66" s="151">
        <f>+-L60*Overview!$D$35</f>
        <v>0</v>
      </c>
      <c r="M66" s="151">
        <f>+-M60*Overview!$D$35</f>
        <v>0</v>
      </c>
      <c r="N66" s="151">
        <f>+-N60*Overview!$D$35</f>
        <v>0</v>
      </c>
      <c r="O66" s="151">
        <f>+-O60*Overview!$D$35</f>
        <v>0</v>
      </c>
      <c r="P66" s="58"/>
      <c r="Q66" s="58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8"/>
      <c r="B68" s="77" t="s">
        <v>52</v>
      </c>
      <c r="C68" s="77"/>
      <c r="D68" s="153">
        <f t="shared" ref="D68:O68" si="28">+D53+D60+D61+D62+D65+D66</f>
        <v>-5484500</v>
      </c>
      <c r="E68" s="153">
        <f t="shared" si="28"/>
        <v>302452.5</v>
      </c>
      <c r="F68" s="153">
        <f t="shared" si="28"/>
        <v>315150.44999999984</v>
      </c>
      <c r="G68" s="153">
        <f t="shared" si="28"/>
        <v>328195.4564999998</v>
      </c>
      <c r="H68" s="153">
        <f t="shared" si="28"/>
        <v>341596.78806749964</v>
      </c>
      <c r="I68" s="153">
        <f t="shared" si="28"/>
        <v>355363.9568272871</v>
      </c>
      <c r="J68" s="153">
        <f t="shared" si="28"/>
        <v>369506.72478723107</v>
      </c>
      <c r="K68" s="153">
        <f t="shared" si="28"/>
        <v>384035.11032695917</v>
      </c>
      <c r="L68" s="153">
        <f t="shared" si="28"/>
        <v>398959.39485358109</v>
      </c>
      <c r="M68" s="153">
        <f t="shared" si="28"/>
        <v>414290.12962873769</v>
      </c>
      <c r="N68" s="153">
        <f t="shared" si="28"/>
        <v>10001730.125753546</v>
      </c>
      <c r="O68" s="153">
        <f t="shared" si="28"/>
        <v>0</v>
      </c>
      <c r="P68" s="58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8"/>
      <c r="B69" s="71" t="s">
        <v>58</v>
      </c>
      <c r="C69" s="58"/>
      <c r="D69" s="61"/>
      <c r="E69" s="74">
        <f t="shared" ref="E69:O69" si="29">+IFERROR(-(E68+-E49-E50-E62)/(SUMIF($D68:E68,"&lt;0")),0)</f>
        <v>5.5146777281429485E-2</v>
      </c>
      <c r="F69" s="74">
        <f t="shared" si="29"/>
        <v>5.7462020238854924E-2</v>
      </c>
      <c r="G69" s="74">
        <f t="shared" si="29"/>
        <v>5.98405427112772E-2</v>
      </c>
      <c r="H69" s="74">
        <f t="shared" si="29"/>
        <v>6.2284034655392402E-2</v>
      </c>
      <c r="I69" s="74">
        <f t="shared" si="29"/>
        <v>6.479423043619055E-2</v>
      </c>
      <c r="J69" s="74">
        <f t="shared" si="29"/>
        <v>6.7372909980350268E-2</v>
      </c>
      <c r="K69" s="74">
        <f t="shared" si="29"/>
        <v>7.0021899959332515E-2</v>
      </c>
      <c r="L69" s="74">
        <f t="shared" si="29"/>
        <v>7.2743075002932103E-2</v>
      </c>
      <c r="M69" s="74">
        <f t="shared" si="29"/>
        <v>7.5538358944067407E-2</v>
      </c>
      <c r="N69" s="74">
        <f t="shared" si="29"/>
        <v>7.8409726095605925E-2</v>
      </c>
      <c r="O69" s="74">
        <f t="shared" si="29"/>
        <v>0</v>
      </c>
      <c r="P69" s="58"/>
      <c r="Q69" s="58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8"/>
      <c r="B70" s="58"/>
      <c r="C70" s="58"/>
      <c r="D70" s="61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8"/>
      <c r="B71" s="77" t="s">
        <v>86</v>
      </c>
      <c r="C71" s="80">
        <f>+IFERROR(IRR(D68:O68),0)</f>
        <v>0.10898831362393779</v>
      </c>
      <c r="D71" s="61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8"/>
      <c r="B72" s="77" t="s">
        <v>87</v>
      </c>
      <c r="C72" s="154">
        <f>+SUM(D68:O68)</f>
        <v>7726780.6367448419</v>
      </c>
      <c r="D72" s="61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8"/>
      <c r="B73" s="77" t="s">
        <v>88</v>
      </c>
      <c r="C73" s="81">
        <f>+IFERROR(SUMIF(D68:O68,"&gt;0")/-SUMIF(D68:O68,"&lt;0"),0)</f>
        <v>2.408839572749538</v>
      </c>
      <c r="D73" s="61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8"/>
      <c r="B74" s="58"/>
      <c r="C74" s="58"/>
      <c r="D74" s="61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13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dataValidations count="1">
    <dataValidation type="list" allowBlank="1" showErrorMessage="1" sqref="C5" xr:uid="{00000000-0002-0000-0100-000000000000}">
      <formula1>"Appreciation,Cap Rate"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showGridLines="0" workbookViewId="0">
      <selection activeCell="H10" sqref="H10"/>
    </sheetView>
  </sheetViews>
  <sheetFormatPr baseColWidth="10" defaultColWidth="11.1640625" defaultRowHeight="15" customHeight="1"/>
  <cols>
    <col min="1" max="1" width="8.83203125" customWidth="1"/>
    <col min="2" max="2" width="3.1640625" customWidth="1"/>
    <col min="3" max="8" width="15" customWidth="1"/>
    <col min="9" max="9" width="8.83203125" customWidth="1"/>
    <col min="10" max="10" width="18.5" customWidth="1"/>
    <col min="11" max="11" width="6.83203125" customWidth="1"/>
    <col min="12" max="26" width="8.83203125" customWidth="1"/>
  </cols>
  <sheetData>
    <row r="1" spans="1:14" ht="16"/>
    <row r="2" spans="1:14" ht="16">
      <c r="A2" s="84"/>
      <c r="B2" s="172" t="s">
        <v>89</v>
      </c>
      <c r="C2" s="159"/>
      <c r="D2" s="159"/>
      <c r="E2" s="159"/>
      <c r="F2" s="159"/>
      <c r="G2" s="159"/>
      <c r="H2" s="160"/>
      <c r="I2" s="84"/>
      <c r="J2" s="172" t="s">
        <v>90</v>
      </c>
      <c r="K2" s="160"/>
      <c r="L2" s="84"/>
      <c r="M2" s="84"/>
      <c r="N2" s="84"/>
    </row>
    <row r="3" spans="1:14" ht="16">
      <c r="A3" s="84"/>
      <c r="B3" s="58"/>
      <c r="C3" s="58"/>
      <c r="D3" s="58"/>
      <c r="E3" s="58"/>
      <c r="F3" s="58"/>
      <c r="G3" s="58"/>
      <c r="H3" s="58"/>
      <c r="I3" s="84"/>
      <c r="J3" s="58"/>
      <c r="K3" s="58"/>
      <c r="L3" s="84"/>
      <c r="M3" s="84"/>
      <c r="N3" s="84"/>
    </row>
    <row r="4" spans="1:14" ht="16">
      <c r="A4" s="84"/>
      <c r="B4" s="58" t="s">
        <v>91</v>
      </c>
      <c r="C4" s="58"/>
      <c r="D4" s="58"/>
      <c r="E4" s="85"/>
      <c r="F4" s="135">
        <f>+Overview!F19</f>
        <v>1972</v>
      </c>
      <c r="G4" s="86" t="s">
        <v>92</v>
      </c>
      <c r="H4" s="133">
        <v>1972</v>
      </c>
      <c r="I4" s="84"/>
      <c r="J4" s="68" t="s">
        <v>93</v>
      </c>
      <c r="K4" s="68" t="s">
        <v>94</v>
      </c>
      <c r="L4" s="84"/>
      <c r="M4" s="84"/>
      <c r="N4" s="84"/>
    </row>
    <row r="5" spans="1:14" ht="16">
      <c r="A5" s="84"/>
      <c r="B5" s="58" t="s">
        <v>95</v>
      </c>
      <c r="C5" s="58"/>
      <c r="D5" s="58"/>
      <c r="E5" s="85"/>
      <c r="F5" s="136"/>
      <c r="G5" s="85"/>
      <c r="H5" s="133">
        <v>250</v>
      </c>
      <c r="I5" s="84"/>
      <c r="J5" s="60">
        <v>1</v>
      </c>
      <c r="K5" s="87">
        <f>+IFERROR((Overview!$L$34*J5)/Overview!$E$39,0)</f>
        <v>4.5955647734524565E-3</v>
      </c>
      <c r="L5" s="85"/>
      <c r="M5" s="84"/>
      <c r="N5" s="84"/>
    </row>
    <row r="6" spans="1:14" ht="16">
      <c r="A6" s="84"/>
      <c r="B6" s="58" t="s">
        <v>96</v>
      </c>
      <c r="C6" s="58"/>
      <c r="D6" s="58"/>
      <c r="E6" s="85"/>
      <c r="F6" s="138">
        <f>+Overview!E24</f>
        <v>6500000</v>
      </c>
      <c r="G6" s="86" t="s">
        <v>92</v>
      </c>
      <c r="H6" s="134">
        <v>6500000</v>
      </c>
      <c r="I6" s="84"/>
      <c r="J6" s="60">
        <f t="shared" ref="J6:J49" si="0">1+J5</f>
        <v>2</v>
      </c>
      <c r="K6" s="87">
        <f>+IFERROR((Overview!$L$34*J6)/Overview!$E$39,0)</f>
        <v>9.191129546904913E-3</v>
      </c>
      <c r="L6" s="85"/>
      <c r="M6" s="84"/>
      <c r="N6" s="84"/>
    </row>
    <row r="7" spans="1:14" ht="16">
      <c r="A7" s="84"/>
      <c r="B7" s="58" t="s">
        <v>97</v>
      </c>
      <c r="C7" s="58"/>
      <c r="D7" s="58"/>
      <c r="E7" s="85"/>
      <c r="F7" s="137"/>
      <c r="G7" s="58"/>
      <c r="H7" s="133">
        <v>100000</v>
      </c>
      <c r="I7" s="84"/>
      <c r="J7" s="60">
        <f t="shared" si="0"/>
        <v>3</v>
      </c>
      <c r="K7" s="87">
        <f>+IFERROR((Overview!$L$34*J7)/Overview!$E$39,0)</f>
        <v>1.3786694320357371E-2</v>
      </c>
      <c r="L7" s="85"/>
      <c r="M7" s="84"/>
      <c r="N7" s="84"/>
    </row>
    <row r="8" spans="1:14" ht="15" customHeight="1">
      <c r="A8" s="84"/>
      <c r="B8" s="58" t="s">
        <v>98</v>
      </c>
      <c r="C8" s="58"/>
      <c r="D8" s="58"/>
      <c r="E8" s="85"/>
      <c r="F8" s="135">
        <f>+Overview!E26</f>
        <v>1250000</v>
      </c>
      <c r="G8" s="86" t="s">
        <v>92</v>
      </c>
      <c r="H8" s="133">
        <v>1250000</v>
      </c>
      <c r="I8" s="84"/>
      <c r="J8" s="60">
        <f t="shared" si="0"/>
        <v>4</v>
      </c>
      <c r="K8" s="87">
        <f>+IFERROR((Overview!$L$34*J8)/Overview!$E$39,0)</f>
        <v>1.8382259093809826E-2</v>
      </c>
      <c r="L8" s="85"/>
      <c r="M8" s="84"/>
      <c r="N8" s="84"/>
    </row>
    <row r="9" spans="1:14" ht="15" customHeight="1">
      <c r="A9" s="84"/>
      <c r="B9" s="58" t="s">
        <v>99</v>
      </c>
      <c r="C9" s="58"/>
      <c r="D9" s="58"/>
      <c r="E9" s="85"/>
      <c r="F9" s="85"/>
      <c r="G9" s="58"/>
      <c r="H9" s="133"/>
      <c r="I9" s="84"/>
      <c r="J9" s="60">
        <f t="shared" si="0"/>
        <v>5</v>
      </c>
      <c r="K9" s="87">
        <f>+IFERROR((Overview!$L$34*J9)/Overview!$E$39,0)</f>
        <v>2.2977823867262284E-2</v>
      </c>
      <c r="L9" s="85"/>
      <c r="M9" s="84"/>
      <c r="N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60">
        <f t="shared" si="0"/>
        <v>6</v>
      </c>
      <c r="K10" s="87">
        <f>+IFERROR((Overview!$L$34*J10)/Overview!$E$39,0)</f>
        <v>2.7573388640714742E-2</v>
      </c>
      <c r="L10" s="85"/>
      <c r="M10" s="84"/>
      <c r="N10" s="84"/>
    </row>
    <row r="11" spans="1:14" ht="16">
      <c r="A11" s="84"/>
      <c r="B11" s="88"/>
      <c r="C11" s="56"/>
      <c r="D11" s="173" t="s">
        <v>100</v>
      </c>
      <c r="E11" s="157"/>
      <c r="F11" s="157"/>
      <c r="G11" s="157"/>
      <c r="H11" s="157"/>
      <c r="I11" s="84"/>
      <c r="J11" s="60">
        <f t="shared" si="0"/>
        <v>7</v>
      </c>
      <c r="K11" s="87">
        <f>+IFERROR((Overview!$L$34*J11)/Overview!$E$39,0)</f>
        <v>3.2168953414167201E-2</v>
      </c>
      <c r="L11" s="85"/>
      <c r="M11" s="84"/>
      <c r="N11" s="84"/>
    </row>
    <row r="12" spans="1:14" ht="16">
      <c r="A12" s="84"/>
      <c r="B12" s="55"/>
      <c r="C12" s="55"/>
      <c r="D12" s="55"/>
      <c r="E12" s="55"/>
      <c r="F12" s="55"/>
      <c r="G12" s="55"/>
      <c r="H12" s="55"/>
      <c r="I12" s="84"/>
      <c r="J12" s="60">
        <f t="shared" si="0"/>
        <v>8</v>
      </c>
      <c r="K12" s="87">
        <f>+IFERROR((Overview!$L$34*J12)/Overview!$E$39,0)</f>
        <v>3.6764518187619652E-2</v>
      </c>
      <c r="L12" s="85"/>
      <c r="M12" s="84"/>
      <c r="N12" s="84"/>
    </row>
    <row r="13" spans="1:14" ht="16">
      <c r="A13" s="84"/>
      <c r="B13" s="90"/>
      <c r="C13" s="90"/>
      <c r="D13" s="174" t="s">
        <v>101</v>
      </c>
      <c r="E13" s="159"/>
      <c r="F13" s="159"/>
      <c r="G13" s="159"/>
      <c r="H13" s="160"/>
      <c r="I13" s="84"/>
      <c r="J13" s="60">
        <f t="shared" si="0"/>
        <v>9</v>
      </c>
      <c r="K13" s="87">
        <f>+IFERROR((Overview!$L$34*J13)/Overview!$E$39,0)</f>
        <v>4.136008296107211E-2</v>
      </c>
      <c r="L13" s="85"/>
      <c r="M13" s="84"/>
      <c r="N13" s="84"/>
    </row>
    <row r="14" spans="1:14" ht="16">
      <c r="A14" s="84"/>
      <c r="B14" s="91"/>
      <c r="C14" s="92">
        <f>+Overview!M37</f>
        <v>5.5146777281429485E-2</v>
      </c>
      <c r="D14" s="70">
        <f t="shared" ref="D14:E14" si="1">+E14-$H$5</f>
        <v>1472</v>
      </c>
      <c r="E14" s="70">
        <f t="shared" si="1"/>
        <v>1722</v>
      </c>
      <c r="F14" s="70">
        <f>+H4</f>
        <v>1972</v>
      </c>
      <c r="G14" s="70">
        <f t="shared" ref="G14:H14" si="2">+F14+$H$5</f>
        <v>2222</v>
      </c>
      <c r="H14" s="70">
        <f t="shared" si="2"/>
        <v>2472</v>
      </c>
      <c r="I14" s="84"/>
      <c r="J14" s="60">
        <f t="shared" si="0"/>
        <v>10</v>
      </c>
      <c r="K14" s="87">
        <f>+IFERROR((Overview!$L$34*J14)/Overview!$E$39,0)</f>
        <v>4.5955647734524568E-2</v>
      </c>
      <c r="L14" s="85"/>
      <c r="M14" s="84"/>
      <c r="N14" s="84"/>
    </row>
    <row r="15" spans="1:14" ht="15" customHeight="1">
      <c r="A15" s="84"/>
      <c r="B15" s="175" t="s">
        <v>34</v>
      </c>
      <c r="C15" s="18">
        <f t="shared" ref="C15:C16" si="3">+C16+$H$7</f>
        <v>6700000</v>
      </c>
      <c r="D15" s="93">
        <v>0.13539999999999999</v>
      </c>
      <c r="E15" s="93">
        <v>0.15459999999999999</v>
      </c>
      <c r="F15" s="93">
        <v>0.1739</v>
      </c>
      <c r="G15" s="93">
        <v>0.19320000000000001</v>
      </c>
      <c r="H15" s="93">
        <v>0.21249999999999999</v>
      </c>
      <c r="I15" s="84"/>
      <c r="J15" s="60">
        <f t="shared" si="0"/>
        <v>11</v>
      </c>
      <c r="K15" s="87">
        <f>+IFERROR((Overview!$L$34*J15)/Overview!$E$39,0)</f>
        <v>5.0551212507977027E-2</v>
      </c>
      <c r="L15" s="85"/>
      <c r="M15" s="84"/>
      <c r="N15" s="84"/>
    </row>
    <row r="16" spans="1:14" ht="15" customHeight="1">
      <c r="A16" s="84"/>
      <c r="B16" s="170"/>
      <c r="C16" s="18">
        <f t="shared" si="3"/>
        <v>6600000</v>
      </c>
      <c r="D16" s="93">
        <v>0.1394</v>
      </c>
      <c r="E16" s="94">
        <v>0.1588</v>
      </c>
      <c r="F16" s="94">
        <v>0.17829999999999999</v>
      </c>
      <c r="G16" s="94">
        <v>0.1978</v>
      </c>
      <c r="H16" s="93">
        <v>0.2172</v>
      </c>
      <c r="I16" s="84"/>
      <c r="J16" s="60">
        <f t="shared" si="0"/>
        <v>12</v>
      </c>
      <c r="K16" s="87">
        <f>+IFERROR((Overview!$L$34*J16)/Overview!$E$39,0)</f>
        <v>5.5146777281429485E-2</v>
      </c>
      <c r="L16" s="85"/>
      <c r="M16" s="84"/>
      <c r="N16" s="84"/>
    </row>
    <row r="17" spans="1:14" ht="16">
      <c r="A17" s="84"/>
      <c r="B17" s="170"/>
      <c r="C17" s="18">
        <f>+H6</f>
        <v>6500000</v>
      </c>
      <c r="D17" s="93">
        <v>0.14349999999999999</v>
      </c>
      <c r="E17" s="94">
        <v>0.16309999999999999</v>
      </c>
      <c r="F17" s="95">
        <v>0.18279999999999999</v>
      </c>
      <c r="G17" s="94">
        <v>0.2024</v>
      </c>
      <c r="H17" s="93">
        <v>0.22209999999999999</v>
      </c>
      <c r="I17" s="84"/>
      <c r="J17" s="60">
        <f t="shared" si="0"/>
        <v>13</v>
      </c>
      <c r="K17" s="87">
        <f>+IFERROR((Overview!$L$34*J17)/Overview!$E$39,0)</f>
        <v>5.9742342054881943E-2</v>
      </c>
      <c r="L17" s="85"/>
      <c r="M17" s="84"/>
      <c r="N17" s="84"/>
    </row>
    <row r="18" spans="1:14" ht="16">
      <c r="A18" s="84"/>
      <c r="B18" s="170"/>
      <c r="C18" s="18">
        <f t="shared" ref="C18:C19" si="4">+C17-$H$7</f>
        <v>6400000</v>
      </c>
      <c r="D18" s="93">
        <v>0.14760000000000001</v>
      </c>
      <c r="E18" s="94">
        <v>0.16750000000000001</v>
      </c>
      <c r="F18" s="94">
        <v>0.18729999999999999</v>
      </c>
      <c r="G18" s="94">
        <v>0.2072</v>
      </c>
      <c r="H18" s="93">
        <v>0.22700000000000001</v>
      </c>
      <c r="I18" s="84"/>
      <c r="J18" s="60">
        <f t="shared" si="0"/>
        <v>14</v>
      </c>
      <c r="K18" s="87">
        <f>+IFERROR((Overview!$L$34*J18)/Overview!$E$39,0)</f>
        <v>6.4337906828334401E-2</v>
      </c>
      <c r="L18" s="85"/>
      <c r="M18" s="84"/>
      <c r="N18" s="84"/>
    </row>
    <row r="19" spans="1:14" ht="16">
      <c r="A19" s="84"/>
      <c r="B19" s="171"/>
      <c r="C19" s="18">
        <f t="shared" si="4"/>
        <v>6300000</v>
      </c>
      <c r="D19" s="93">
        <v>0.15190000000000001</v>
      </c>
      <c r="E19" s="93">
        <v>0.1719</v>
      </c>
      <c r="F19" s="93">
        <v>0.192</v>
      </c>
      <c r="G19" s="93">
        <v>0.21199999999999999</v>
      </c>
      <c r="H19" s="93">
        <v>0.2321</v>
      </c>
      <c r="I19" s="84"/>
      <c r="J19" s="60">
        <f t="shared" si="0"/>
        <v>15</v>
      </c>
      <c r="K19" s="87">
        <f>+IFERROR((Overview!$L$34*J19)/Overview!$E$39,0)</f>
        <v>6.8933471601786853E-2</v>
      </c>
      <c r="L19" s="85"/>
      <c r="M19" s="84"/>
      <c r="N19" s="84"/>
    </row>
    <row r="20" spans="1:14" ht="16">
      <c r="A20" s="84"/>
      <c r="B20" s="55"/>
      <c r="C20" s="55"/>
      <c r="D20" s="55"/>
      <c r="E20" s="55"/>
      <c r="F20" s="55"/>
      <c r="G20" s="55"/>
      <c r="H20" s="55"/>
      <c r="I20" s="84"/>
      <c r="J20" s="60">
        <f t="shared" si="0"/>
        <v>16</v>
      </c>
      <c r="K20" s="87">
        <f>+IFERROR((Overview!$L$34*J20)/Overview!$E$39,0)</f>
        <v>7.3529036375239304E-2</v>
      </c>
      <c r="L20" s="85"/>
      <c r="M20" s="84"/>
      <c r="N20" s="84"/>
    </row>
    <row r="21" spans="1:14" ht="16">
      <c r="A21" s="84"/>
      <c r="B21" s="88"/>
      <c r="C21" s="56"/>
      <c r="D21" s="173" t="s">
        <v>100</v>
      </c>
      <c r="E21" s="157"/>
      <c r="F21" s="157"/>
      <c r="G21" s="157"/>
      <c r="H21" s="157"/>
      <c r="I21" s="84"/>
      <c r="J21" s="60">
        <f t="shared" si="0"/>
        <v>17</v>
      </c>
      <c r="K21" s="87">
        <f>+IFERROR((Overview!$L$34*J21)/Overview!$E$39,0)</f>
        <v>7.8124601148691769E-2</v>
      </c>
      <c r="L21" s="85"/>
      <c r="M21" s="84"/>
      <c r="N21" s="84"/>
    </row>
    <row r="22" spans="1:14" ht="16">
      <c r="A22" s="84"/>
      <c r="B22" s="55"/>
      <c r="C22" s="55"/>
      <c r="D22" s="55"/>
      <c r="E22" s="55"/>
      <c r="F22" s="55"/>
      <c r="G22" s="55"/>
      <c r="H22" s="55"/>
      <c r="I22" s="84"/>
      <c r="J22" s="60">
        <f t="shared" si="0"/>
        <v>18</v>
      </c>
      <c r="K22" s="87">
        <f>+IFERROR((Overview!$L$34*J22)/Overview!$E$39,0)</f>
        <v>8.272016592214422E-2</v>
      </c>
      <c r="L22" s="85"/>
      <c r="M22" s="84"/>
      <c r="N22" s="84"/>
    </row>
    <row r="23" spans="1:14" ht="16">
      <c r="A23" s="84"/>
      <c r="B23" s="90"/>
      <c r="C23" s="90"/>
      <c r="D23" s="168" t="s">
        <v>101</v>
      </c>
      <c r="E23" s="159"/>
      <c r="F23" s="159"/>
      <c r="G23" s="159"/>
      <c r="H23" s="160"/>
      <c r="I23" s="84"/>
      <c r="J23" s="60">
        <f t="shared" si="0"/>
        <v>19</v>
      </c>
      <c r="K23" s="87">
        <f>+IFERROR((Overview!$L$34*J23)/Overview!$E$39,0)</f>
        <v>8.7315730695596686E-2</v>
      </c>
      <c r="L23" s="85"/>
      <c r="M23" s="84"/>
      <c r="N23" s="84"/>
    </row>
    <row r="24" spans="1:14" ht="16">
      <c r="A24" s="84"/>
      <c r="B24" s="175" t="s">
        <v>38</v>
      </c>
      <c r="C24" s="96">
        <f>+Overview!M37</f>
        <v>5.5146777281429485E-2</v>
      </c>
      <c r="D24" s="70">
        <f t="shared" ref="D24:H24" si="5">+D44</f>
        <v>1472</v>
      </c>
      <c r="E24" s="70">
        <f t="shared" si="5"/>
        <v>1722</v>
      </c>
      <c r="F24" s="70">
        <f t="shared" si="5"/>
        <v>1972</v>
      </c>
      <c r="G24" s="70">
        <f t="shared" si="5"/>
        <v>2222</v>
      </c>
      <c r="H24" s="70">
        <f t="shared" si="5"/>
        <v>2472</v>
      </c>
      <c r="I24" s="84"/>
      <c r="J24" s="60">
        <f t="shared" si="0"/>
        <v>20</v>
      </c>
      <c r="K24" s="87">
        <f>+IFERROR((Overview!$L$34*J24)/Overview!$E$39,0)</f>
        <v>9.1911295469049137E-2</v>
      </c>
      <c r="L24" s="85"/>
      <c r="M24" s="84"/>
      <c r="N24" s="84"/>
    </row>
    <row r="25" spans="1:14" ht="15" customHeight="1">
      <c r="A25" s="84"/>
      <c r="B25" s="170"/>
      <c r="C25" s="18">
        <f t="shared" ref="C25:C26" si="6">+C26+$H$9</f>
        <v>1250000</v>
      </c>
      <c r="D25" s="93">
        <v>0.1318</v>
      </c>
      <c r="E25" s="93">
        <v>0.14979999999999999</v>
      </c>
      <c r="F25" s="93">
        <v>0.16789999999999999</v>
      </c>
      <c r="G25" s="93">
        <v>0.18590000000000001</v>
      </c>
      <c r="H25" s="93">
        <v>0.20399999999999999</v>
      </c>
      <c r="I25" s="84"/>
      <c r="J25" s="60">
        <f t="shared" si="0"/>
        <v>21</v>
      </c>
      <c r="K25" s="87">
        <f>+IFERROR((Overview!$L$34*J25)/Overview!$E$39,0)</f>
        <v>9.6506860242501602E-2</v>
      </c>
      <c r="L25" s="85"/>
      <c r="M25" s="84"/>
      <c r="N25" s="84"/>
    </row>
    <row r="26" spans="1:14" ht="15" customHeight="1">
      <c r="A26" s="84"/>
      <c r="B26" s="170"/>
      <c r="C26" s="18">
        <f t="shared" si="6"/>
        <v>1250000</v>
      </c>
      <c r="D26" s="93">
        <v>0.13739999999999999</v>
      </c>
      <c r="E26" s="94">
        <v>0.15620000000000001</v>
      </c>
      <c r="F26" s="94">
        <v>0.17499999999999999</v>
      </c>
      <c r="G26" s="94">
        <v>0.1938</v>
      </c>
      <c r="H26" s="93">
        <v>0.2127</v>
      </c>
      <c r="I26" s="84"/>
      <c r="J26" s="60">
        <f t="shared" si="0"/>
        <v>22</v>
      </c>
      <c r="K26" s="87">
        <f>+IFERROR((Overview!$L$34*J26)/Overview!$E$39,0)</f>
        <v>0.10110242501595405</v>
      </c>
      <c r="L26" s="85"/>
      <c r="M26" s="84"/>
      <c r="N26" s="84"/>
    </row>
    <row r="27" spans="1:14" ht="16">
      <c r="A27" s="84"/>
      <c r="B27" s="170"/>
      <c r="C27" s="18">
        <f>+H8</f>
        <v>1250000</v>
      </c>
      <c r="D27" s="93">
        <v>0.14349999999999999</v>
      </c>
      <c r="E27" s="94">
        <v>0.16309999999999999</v>
      </c>
      <c r="F27" s="95">
        <v>0.18279999999999999</v>
      </c>
      <c r="G27" s="94">
        <v>0.2024</v>
      </c>
      <c r="H27" s="93">
        <v>0.22209999999999999</v>
      </c>
      <c r="I27" s="84"/>
      <c r="J27" s="60">
        <f t="shared" si="0"/>
        <v>23</v>
      </c>
      <c r="K27" s="87">
        <f>+IFERROR((Overview!$L$34*J27)/Overview!$E$39,0)</f>
        <v>0.1056979897894065</v>
      </c>
      <c r="L27" s="85"/>
      <c r="M27" s="84"/>
      <c r="N27" s="84"/>
    </row>
    <row r="28" spans="1:14" ht="16">
      <c r="A28" s="84"/>
      <c r="B28" s="170"/>
      <c r="C28" s="18">
        <f t="shared" ref="C28:C29" si="7">+C27-$H$9</f>
        <v>1250000</v>
      </c>
      <c r="D28" s="93">
        <v>0.15010000000000001</v>
      </c>
      <c r="E28" s="94">
        <v>0.17069999999999999</v>
      </c>
      <c r="F28" s="94">
        <v>0.19120000000000001</v>
      </c>
      <c r="G28" s="94">
        <v>0.21179999999999999</v>
      </c>
      <c r="H28" s="93">
        <v>0.2324</v>
      </c>
      <c r="I28" s="84"/>
      <c r="J28" s="60">
        <f t="shared" si="0"/>
        <v>24</v>
      </c>
      <c r="K28" s="87">
        <f>+IFERROR((Overview!$L$34*J28)/Overview!$E$39,0)</f>
        <v>0.11029355456285897</v>
      </c>
      <c r="L28" s="85"/>
      <c r="M28" s="84"/>
      <c r="N28" s="84"/>
    </row>
    <row r="29" spans="1:14" ht="16">
      <c r="A29" s="84"/>
      <c r="B29" s="171"/>
      <c r="C29" s="18">
        <f t="shared" si="7"/>
        <v>1250000</v>
      </c>
      <c r="D29" s="93">
        <v>0.15740000000000001</v>
      </c>
      <c r="E29" s="93">
        <v>0.17899999999999999</v>
      </c>
      <c r="F29" s="93">
        <v>0.20050000000000001</v>
      </c>
      <c r="G29" s="93">
        <v>0.22209999999999999</v>
      </c>
      <c r="H29" s="93">
        <v>0.2437</v>
      </c>
      <c r="I29" s="84"/>
      <c r="J29" s="60">
        <f t="shared" si="0"/>
        <v>25</v>
      </c>
      <c r="K29" s="87">
        <f>+IFERROR((Overview!$L$34*J29)/Overview!$E$39,0)</f>
        <v>0.11488911933631142</v>
      </c>
      <c r="L29" s="85"/>
      <c r="M29" s="84"/>
      <c r="N29" s="84"/>
    </row>
    <row r="30" spans="1:14" ht="16">
      <c r="A30" s="84"/>
      <c r="B30" s="85"/>
      <c r="C30" s="84"/>
      <c r="D30" s="84"/>
      <c r="E30" s="84"/>
      <c r="F30" s="84"/>
      <c r="G30" s="84"/>
      <c r="H30" s="84"/>
      <c r="I30" s="84"/>
      <c r="J30" s="60">
        <f t="shared" si="0"/>
        <v>26</v>
      </c>
      <c r="K30" s="87">
        <f>+IFERROR((Overview!$L$34*J30)/Overview!$E$39,0)</f>
        <v>0.11948468410976389</v>
      </c>
      <c r="L30" s="85"/>
      <c r="M30" s="84"/>
      <c r="N30" s="84"/>
    </row>
    <row r="31" spans="1:14" ht="15" customHeight="1">
      <c r="A31" s="84"/>
      <c r="B31" s="89"/>
      <c r="C31" s="56"/>
      <c r="D31" s="173" t="s">
        <v>102</v>
      </c>
      <c r="E31" s="157"/>
      <c r="F31" s="157"/>
      <c r="G31" s="157"/>
      <c r="H31" s="157"/>
      <c r="I31" s="84"/>
      <c r="J31" s="60">
        <f t="shared" si="0"/>
        <v>27</v>
      </c>
      <c r="K31" s="87">
        <f>+IFERROR((Overview!$L$34*J31)/Overview!$E$39,0)</f>
        <v>0.12408024888321634</v>
      </c>
      <c r="L31" s="85"/>
      <c r="M31" s="84"/>
      <c r="N31" s="84"/>
    </row>
    <row r="32" spans="1:14" ht="16">
      <c r="A32" s="84"/>
      <c r="B32" s="58"/>
      <c r="C32" s="55"/>
      <c r="D32" s="55"/>
      <c r="E32" s="55"/>
      <c r="F32" s="55"/>
      <c r="G32" s="55"/>
      <c r="H32" s="55"/>
      <c r="I32" s="84"/>
      <c r="J32" s="60">
        <f t="shared" si="0"/>
        <v>28</v>
      </c>
      <c r="K32" s="87">
        <f>+IFERROR((Overview!$L$34*J32)/Overview!$E$39,0)</f>
        <v>0.1286758136566688</v>
      </c>
      <c r="L32" s="85"/>
      <c r="M32" s="84"/>
      <c r="N32" s="84"/>
    </row>
    <row r="33" spans="1:14" ht="16">
      <c r="A33" s="84"/>
      <c r="B33" s="97"/>
      <c r="C33" s="90"/>
      <c r="D33" s="168" t="s">
        <v>101</v>
      </c>
      <c r="E33" s="159"/>
      <c r="F33" s="159"/>
      <c r="G33" s="159"/>
      <c r="H33" s="160"/>
      <c r="I33" s="84"/>
      <c r="J33" s="60">
        <f t="shared" si="0"/>
        <v>29</v>
      </c>
      <c r="K33" s="87">
        <f>+IFERROR((Overview!$L$34*J33)/Overview!$E$39,0)</f>
        <v>0.13327137843012124</v>
      </c>
      <c r="L33" s="85"/>
      <c r="M33" s="84"/>
      <c r="N33" s="84"/>
    </row>
    <row r="34" spans="1:14" ht="16">
      <c r="A34" s="84"/>
      <c r="B34" s="98"/>
      <c r="C34" s="99" t="str">
        <f>+TEXT('Annual CFs'!C55*100,"0.0")&amp;"% / $"&amp;TEXT('Annual CFs'!C56/1000,0)&amp;"k"</f>
        <v>8.5% / $9306k</v>
      </c>
      <c r="D34" s="100">
        <f t="shared" ref="D34:H34" si="8">+D14</f>
        <v>1472</v>
      </c>
      <c r="E34" s="100">
        <f t="shared" si="8"/>
        <v>1722</v>
      </c>
      <c r="F34" s="100">
        <f t="shared" si="8"/>
        <v>1972</v>
      </c>
      <c r="G34" s="100">
        <f t="shared" si="8"/>
        <v>2222</v>
      </c>
      <c r="H34" s="100">
        <f t="shared" si="8"/>
        <v>2472</v>
      </c>
      <c r="I34" s="84"/>
      <c r="J34" s="60">
        <f t="shared" si="0"/>
        <v>30</v>
      </c>
      <c r="K34" s="87">
        <f>+IFERROR((Overview!$L$34*J34)/Overview!$E$39,0)</f>
        <v>0.13786694320357371</v>
      </c>
      <c r="L34" s="85"/>
      <c r="M34" s="84"/>
      <c r="N34" s="84"/>
    </row>
    <row r="35" spans="1:14" ht="15" customHeight="1">
      <c r="A35" s="84"/>
      <c r="B35" s="175" t="s">
        <v>34</v>
      </c>
      <c r="C35" s="101">
        <f t="shared" ref="C35:C39" si="9">+C15</f>
        <v>6700000</v>
      </c>
      <c r="D35" s="102" t="s">
        <v>103</v>
      </c>
      <c r="E35" s="102" t="s">
        <v>104</v>
      </c>
      <c r="F35" s="102" t="s">
        <v>105</v>
      </c>
      <c r="G35" s="102" t="s">
        <v>106</v>
      </c>
      <c r="H35" s="102" t="s">
        <v>107</v>
      </c>
      <c r="I35" s="85"/>
      <c r="J35" s="60">
        <f t="shared" si="0"/>
        <v>31</v>
      </c>
      <c r="K35" s="87">
        <f>+IFERROR((Overview!$L$34*J35)/Overview!$E$39,0)</f>
        <v>0.14246250797702617</v>
      </c>
      <c r="L35" s="85"/>
      <c r="M35" s="84"/>
      <c r="N35" s="84"/>
    </row>
    <row r="36" spans="1:14" ht="16">
      <c r="A36" s="84"/>
      <c r="B36" s="170"/>
      <c r="C36" s="101">
        <f t="shared" si="9"/>
        <v>6600000</v>
      </c>
      <c r="D36" s="102" t="s">
        <v>108</v>
      </c>
      <c r="E36" s="103" t="s">
        <v>109</v>
      </c>
      <c r="F36" s="103" t="s">
        <v>110</v>
      </c>
      <c r="G36" s="103" t="s">
        <v>111</v>
      </c>
      <c r="H36" s="102" t="s">
        <v>112</v>
      </c>
      <c r="I36" s="85"/>
      <c r="J36" s="60">
        <f t="shared" si="0"/>
        <v>32</v>
      </c>
      <c r="K36" s="87">
        <f>+IFERROR((Overview!$L$34*J36)/Overview!$E$39,0)</f>
        <v>0.14705807275047861</v>
      </c>
      <c r="L36" s="85"/>
      <c r="M36" s="84"/>
      <c r="N36" s="84"/>
    </row>
    <row r="37" spans="1:14" ht="16">
      <c r="A37" s="84"/>
      <c r="B37" s="170"/>
      <c r="C37" s="101">
        <f t="shared" si="9"/>
        <v>6500000</v>
      </c>
      <c r="D37" s="102" t="s">
        <v>113</v>
      </c>
      <c r="E37" s="103" t="s">
        <v>114</v>
      </c>
      <c r="F37" s="42" t="s">
        <v>115</v>
      </c>
      <c r="G37" s="103" t="s">
        <v>116</v>
      </c>
      <c r="H37" s="102" t="s">
        <v>117</v>
      </c>
      <c r="I37" s="85"/>
      <c r="J37" s="60">
        <f t="shared" si="0"/>
        <v>33</v>
      </c>
      <c r="K37" s="87">
        <f>+IFERROR((Overview!$L$34*J37)/Overview!$E$39,0)</f>
        <v>0.15165363752393107</v>
      </c>
      <c r="L37" s="85"/>
      <c r="M37" s="84"/>
      <c r="N37" s="84"/>
    </row>
    <row r="38" spans="1:14" ht="16">
      <c r="A38" s="84"/>
      <c r="B38" s="170"/>
      <c r="C38" s="101">
        <f t="shared" si="9"/>
        <v>6400000</v>
      </c>
      <c r="D38" s="102" t="s">
        <v>118</v>
      </c>
      <c r="E38" s="103" t="s">
        <v>119</v>
      </c>
      <c r="F38" s="103" t="s">
        <v>120</v>
      </c>
      <c r="G38" s="103" t="s">
        <v>121</v>
      </c>
      <c r="H38" s="102" t="s">
        <v>122</v>
      </c>
      <c r="I38" s="85"/>
      <c r="J38" s="60">
        <f t="shared" si="0"/>
        <v>34</v>
      </c>
      <c r="K38" s="87">
        <f>+IFERROR((Overview!$L$34*J38)/Overview!$E$39,0)</f>
        <v>0.15624920229738354</v>
      </c>
      <c r="L38" s="85"/>
      <c r="M38" s="84"/>
      <c r="N38" s="84"/>
    </row>
    <row r="39" spans="1:14" ht="16">
      <c r="A39" s="84"/>
      <c r="B39" s="171"/>
      <c r="C39" s="101">
        <f t="shared" si="9"/>
        <v>6300000</v>
      </c>
      <c r="D39" s="102" t="s">
        <v>123</v>
      </c>
      <c r="E39" s="102" t="s">
        <v>124</v>
      </c>
      <c r="F39" s="102" t="s">
        <v>125</v>
      </c>
      <c r="G39" s="102" t="s">
        <v>126</v>
      </c>
      <c r="H39" s="102" t="s">
        <v>127</v>
      </c>
      <c r="I39" s="85"/>
      <c r="J39" s="60">
        <f t="shared" si="0"/>
        <v>35</v>
      </c>
      <c r="K39" s="87">
        <f>+IFERROR((Overview!$L$34*J39)/Overview!$E$39,0)</f>
        <v>0.160844767070836</v>
      </c>
      <c r="L39" s="85"/>
      <c r="M39" s="84"/>
      <c r="N39" s="84"/>
    </row>
    <row r="40" spans="1:14" ht="16">
      <c r="A40" s="84"/>
      <c r="B40" s="84"/>
      <c r="C40" s="84"/>
      <c r="D40" s="84"/>
      <c r="E40" s="84"/>
      <c r="F40" s="84"/>
      <c r="G40" s="84"/>
      <c r="H40" s="84"/>
      <c r="I40" s="84"/>
      <c r="J40" s="60">
        <f t="shared" si="0"/>
        <v>36</v>
      </c>
      <c r="K40" s="87">
        <f>+IFERROR((Overview!$L$34*J40)/Overview!$E$39,0)</f>
        <v>0.16544033184428844</v>
      </c>
      <c r="L40" s="85"/>
      <c r="M40" s="84"/>
      <c r="N40" s="84"/>
    </row>
    <row r="41" spans="1:14" ht="16">
      <c r="A41" s="84"/>
      <c r="B41" s="88"/>
      <c r="C41" s="56"/>
      <c r="D41" s="173" t="s">
        <v>128</v>
      </c>
      <c r="E41" s="157"/>
      <c r="F41" s="157"/>
      <c r="G41" s="157"/>
      <c r="H41" s="157"/>
      <c r="I41" s="84"/>
      <c r="J41" s="60">
        <f t="shared" si="0"/>
        <v>37</v>
      </c>
      <c r="K41" s="87">
        <f>+IFERROR((Overview!$L$34*J41)/Overview!$E$39,0)</f>
        <v>0.17003589661774091</v>
      </c>
      <c r="L41" s="85"/>
      <c r="M41" s="84"/>
      <c r="N41" s="84"/>
    </row>
    <row r="42" spans="1:14" ht="16">
      <c r="A42" s="84"/>
      <c r="B42" s="55"/>
      <c r="C42" s="55"/>
      <c r="D42" s="55"/>
      <c r="E42" s="55"/>
      <c r="F42" s="55"/>
      <c r="G42" s="55"/>
      <c r="H42" s="55"/>
      <c r="I42" s="84"/>
      <c r="J42" s="60">
        <f t="shared" si="0"/>
        <v>38</v>
      </c>
      <c r="K42" s="87">
        <f>+IFERROR((Overview!$L$34*J42)/Overview!$E$39,0)</f>
        <v>0.17463146139119337</v>
      </c>
      <c r="L42" s="85"/>
      <c r="M42" s="84"/>
      <c r="N42" s="84"/>
    </row>
    <row r="43" spans="1:14" ht="16">
      <c r="A43" s="84"/>
      <c r="B43" s="90"/>
      <c r="C43" s="90"/>
      <c r="D43" s="168" t="s">
        <v>101</v>
      </c>
      <c r="E43" s="159"/>
      <c r="F43" s="159"/>
      <c r="G43" s="159"/>
      <c r="H43" s="160"/>
      <c r="I43" s="84"/>
      <c r="J43" s="60">
        <f t="shared" si="0"/>
        <v>39</v>
      </c>
      <c r="K43" s="87">
        <f>+IFERROR((Overview!$L$34*J43)/Overview!$E$39,0)</f>
        <v>0.17922702616464581</v>
      </c>
      <c r="L43" s="85"/>
      <c r="M43" s="84"/>
      <c r="N43" s="84"/>
    </row>
    <row r="44" spans="1:14" ht="16">
      <c r="A44" s="84"/>
      <c r="B44" s="91"/>
      <c r="C44" s="99" t="str">
        <f>+TEXT('Annual CFs'!C71*100,"0.0")&amp;"% / $"&amp;TEXT('Annual CFs'!C72/1000,0)&amp;"k"</f>
        <v>10.9% / $7727k</v>
      </c>
      <c r="D44" s="100">
        <f t="shared" ref="D44:H44" si="10">+D34</f>
        <v>1472</v>
      </c>
      <c r="E44" s="100">
        <f t="shared" si="10"/>
        <v>1722</v>
      </c>
      <c r="F44" s="100">
        <f t="shared" si="10"/>
        <v>1972</v>
      </c>
      <c r="G44" s="100">
        <f t="shared" si="10"/>
        <v>2222</v>
      </c>
      <c r="H44" s="100">
        <f t="shared" si="10"/>
        <v>2472</v>
      </c>
      <c r="I44" s="84"/>
      <c r="J44" s="60">
        <f t="shared" si="0"/>
        <v>40</v>
      </c>
      <c r="K44" s="87">
        <f>+IFERROR((Overview!$L$34*J44)/Overview!$E$39,0)</f>
        <v>0.18382259093809827</v>
      </c>
      <c r="L44" s="85"/>
      <c r="M44" s="84"/>
      <c r="N44" s="84"/>
    </row>
    <row r="45" spans="1:14" ht="15" customHeight="1">
      <c r="A45" s="84"/>
      <c r="B45" s="169" t="s">
        <v>34</v>
      </c>
      <c r="C45" s="18">
        <f t="shared" ref="C45:C49" si="11">+C35</f>
        <v>6700000</v>
      </c>
      <c r="D45" s="102" t="s">
        <v>129</v>
      </c>
      <c r="E45" s="102" t="s">
        <v>130</v>
      </c>
      <c r="F45" s="102" t="s">
        <v>131</v>
      </c>
      <c r="G45" s="102" t="s">
        <v>132</v>
      </c>
      <c r="H45" s="102" t="s">
        <v>133</v>
      </c>
      <c r="I45" s="85"/>
      <c r="J45" s="60">
        <f t="shared" si="0"/>
        <v>41</v>
      </c>
      <c r="K45" s="87">
        <f>+IFERROR((Overview!$L$34*J45)/Overview!$E$39,0)</f>
        <v>0.18841815571155074</v>
      </c>
      <c r="L45" s="85"/>
      <c r="M45" s="84"/>
      <c r="N45" s="84"/>
    </row>
    <row r="46" spans="1:14" ht="16">
      <c r="A46" s="84"/>
      <c r="B46" s="170"/>
      <c r="C46" s="18">
        <f t="shared" si="11"/>
        <v>6600000</v>
      </c>
      <c r="D46" s="102" t="s">
        <v>134</v>
      </c>
      <c r="E46" s="103" t="s">
        <v>135</v>
      </c>
      <c r="F46" s="103" t="s">
        <v>136</v>
      </c>
      <c r="G46" s="103" t="s">
        <v>137</v>
      </c>
      <c r="H46" s="102" t="s">
        <v>138</v>
      </c>
      <c r="I46" s="85"/>
      <c r="J46" s="60">
        <f t="shared" si="0"/>
        <v>42</v>
      </c>
      <c r="K46" s="87">
        <f>+IFERROR((Overview!$L$34*J46)/Overview!$E$39,0)</f>
        <v>0.1930137204850032</v>
      </c>
      <c r="L46" s="85"/>
      <c r="M46" s="84"/>
      <c r="N46" s="84"/>
    </row>
    <row r="47" spans="1:14" ht="16">
      <c r="A47" s="84"/>
      <c r="B47" s="170"/>
      <c r="C47" s="18">
        <f t="shared" si="11"/>
        <v>6500000</v>
      </c>
      <c r="D47" s="102" t="s">
        <v>139</v>
      </c>
      <c r="E47" s="103" t="s">
        <v>140</v>
      </c>
      <c r="F47" s="42" t="s">
        <v>141</v>
      </c>
      <c r="G47" s="103" t="s">
        <v>142</v>
      </c>
      <c r="H47" s="102" t="s">
        <v>143</v>
      </c>
      <c r="I47" s="85"/>
      <c r="J47" s="60">
        <f t="shared" si="0"/>
        <v>43</v>
      </c>
      <c r="K47" s="87">
        <f>+IFERROR((Overview!$L$34*J47)/Overview!$E$39,0)</f>
        <v>0.19760928525845564</v>
      </c>
      <c r="L47" s="85"/>
      <c r="M47" s="84"/>
      <c r="N47" s="84"/>
    </row>
    <row r="48" spans="1:14" ht="16">
      <c r="A48" s="84"/>
      <c r="B48" s="170"/>
      <c r="C48" s="18">
        <f t="shared" si="11"/>
        <v>6400000</v>
      </c>
      <c r="D48" s="102" t="s">
        <v>144</v>
      </c>
      <c r="E48" s="103" t="s">
        <v>145</v>
      </c>
      <c r="F48" s="103" t="s">
        <v>146</v>
      </c>
      <c r="G48" s="103" t="s">
        <v>147</v>
      </c>
      <c r="H48" s="102" t="s">
        <v>148</v>
      </c>
      <c r="I48" s="85"/>
      <c r="J48" s="60">
        <f t="shared" si="0"/>
        <v>44</v>
      </c>
      <c r="K48" s="87">
        <f>+IFERROR((Overview!$L$34*J48)/Overview!$E$39,0)</f>
        <v>0.20220485003190811</v>
      </c>
      <c r="L48" s="85"/>
      <c r="M48" s="84"/>
      <c r="N48" s="84"/>
    </row>
    <row r="49" spans="1:14" ht="16">
      <c r="A49" s="84"/>
      <c r="B49" s="171"/>
      <c r="C49" s="18">
        <f t="shared" si="11"/>
        <v>6300000</v>
      </c>
      <c r="D49" s="102" t="s">
        <v>149</v>
      </c>
      <c r="E49" s="102" t="s">
        <v>150</v>
      </c>
      <c r="F49" s="102" t="s">
        <v>151</v>
      </c>
      <c r="G49" s="102" t="s">
        <v>152</v>
      </c>
      <c r="H49" s="102" t="s">
        <v>153</v>
      </c>
      <c r="I49" s="85"/>
      <c r="J49" s="60">
        <f t="shared" si="0"/>
        <v>45</v>
      </c>
      <c r="K49" s="87">
        <f>+IFERROR((Overview!$L$34*J49)/Overview!$E$39,0)</f>
        <v>0.20680041480536057</v>
      </c>
      <c r="L49" s="85"/>
      <c r="M49" s="84"/>
      <c r="N49" s="84"/>
    </row>
    <row r="50" spans="1:14" ht="16">
      <c r="A50" s="84"/>
      <c r="B50" s="84"/>
      <c r="C50" s="84"/>
      <c r="D50" s="84"/>
      <c r="E50" s="84"/>
      <c r="F50" s="84"/>
      <c r="G50" s="84"/>
      <c r="H50" s="84"/>
      <c r="I50" s="84"/>
      <c r="J50" s="85"/>
      <c r="K50" s="85"/>
      <c r="L50" s="85"/>
      <c r="M50" s="84"/>
      <c r="N50" s="84"/>
    </row>
    <row r="51" spans="1:14" ht="16">
      <c r="A51" s="84"/>
      <c r="B51" s="84"/>
      <c r="C51" s="1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ht="16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t="16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mergeCells count="14">
    <mergeCell ref="D43:H43"/>
    <mergeCell ref="B45:B49"/>
    <mergeCell ref="B2:H2"/>
    <mergeCell ref="J2:K2"/>
    <mergeCell ref="D11:H11"/>
    <mergeCell ref="D13:H13"/>
    <mergeCell ref="B15:B19"/>
    <mergeCell ref="D21:H21"/>
    <mergeCell ref="B24:B29"/>
    <mergeCell ref="D23:H23"/>
    <mergeCell ref="D31:H31"/>
    <mergeCell ref="D33:H33"/>
    <mergeCell ref="B35:B39"/>
    <mergeCell ref="D41:H4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1.1640625" defaultRowHeight="15" customHeight="1"/>
  <cols>
    <col min="1" max="1" width="8.6640625" customWidth="1"/>
    <col min="2" max="3" width="21" customWidth="1"/>
    <col min="4" max="4" width="8.6640625" customWidth="1"/>
    <col min="5" max="5" width="21" customWidth="1"/>
    <col min="6" max="26" width="8.6640625" customWidth="1"/>
  </cols>
  <sheetData>
    <row r="1" spans="1:26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" customHeight="1">
      <c r="A2" s="55"/>
      <c r="B2" s="104" t="s">
        <v>154</v>
      </c>
      <c r="C2" s="104" t="s">
        <v>24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105" t="s">
        <v>155</v>
      </c>
      <c r="C3" s="106">
        <v>54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105" t="s">
        <v>156</v>
      </c>
      <c r="C4" s="106">
        <v>54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105" t="s">
        <v>157</v>
      </c>
      <c r="C5" s="106">
        <v>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107" t="s">
        <v>158</v>
      </c>
      <c r="C6" s="106">
        <v>84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105" t="s">
        <v>159</v>
      </c>
      <c r="C7" s="106">
        <v>84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107" t="s">
        <v>160</v>
      </c>
      <c r="C8" s="106">
        <v>84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105" t="s">
        <v>161</v>
      </c>
      <c r="C9" s="106">
        <v>94</v>
      </c>
      <c r="D9" s="55"/>
      <c r="E9" s="55"/>
      <c r="F9" s="10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107" t="s">
        <v>162</v>
      </c>
      <c r="C10" s="106">
        <v>94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105" t="s">
        <v>163</v>
      </c>
      <c r="C11" s="106">
        <v>99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107" t="s">
        <v>164</v>
      </c>
      <c r="C12" s="106">
        <v>99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105" t="s">
        <v>165</v>
      </c>
      <c r="C13" s="106">
        <v>104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107" t="s">
        <v>166</v>
      </c>
      <c r="C14" s="106">
        <v>104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105" t="s">
        <v>167</v>
      </c>
      <c r="C15" s="106">
        <v>104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105" t="s">
        <v>168</v>
      </c>
      <c r="C16" s="106">
        <v>109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107" t="s">
        <v>169</v>
      </c>
      <c r="C17" s="106">
        <v>109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105" t="s">
        <v>170</v>
      </c>
      <c r="C18" s="106">
        <v>114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107" t="s">
        <v>171</v>
      </c>
      <c r="C19" s="106">
        <v>114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105" t="s">
        <v>172</v>
      </c>
      <c r="C20" s="106">
        <v>119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5"/>
      <c r="B21" s="105" t="s">
        <v>173</v>
      </c>
      <c r="C21" s="106">
        <v>119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5"/>
      <c r="B22" s="105" t="s">
        <v>174</v>
      </c>
      <c r="C22" s="106">
        <v>124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5"/>
      <c r="B23" s="105" t="s">
        <v>175</v>
      </c>
      <c r="C23" s="106">
        <v>129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5"/>
      <c r="B24" s="105" t="s">
        <v>176</v>
      </c>
      <c r="C24" s="106">
        <v>134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105" t="s">
        <v>177</v>
      </c>
      <c r="C25" s="106">
        <v>139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" customHeight="1">
      <c r="A27" s="55"/>
      <c r="B27" s="104" t="s">
        <v>178</v>
      </c>
      <c r="C27" s="104" t="s">
        <v>179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8"/>
      <c r="B28" s="109">
        <v>0</v>
      </c>
      <c r="C28" s="106">
        <v>7500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8"/>
      <c r="B29" s="110">
        <v>1</v>
      </c>
      <c r="C29" s="106">
        <f>+C28+2500</f>
        <v>10000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8"/>
      <c r="B30" s="110">
        <v>2</v>
      </c>
      <c r="C30" s="106">
        <v>13500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8"/>
      <c r="B31" s="110">
        <v>3</v>
      </c>
      <c r="C31" s="106">
        <v>17500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8"/>
      <c r="B32" s="110">
        <v>4</v>
      </c>
      <c r="C32" s="106">
        <v>21500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8"/>
      <c r="B33" s="110">
        <v>5</v>
      </c>
      <c r="C33" s="106">
        <v>25000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110"/>
      <c r="C34" s="111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5"/>
      <c r="B35" s="111"/>
      <c r="C35" s="111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Annual CFs</vt:lpstr>
      <vt:lpstr>Sensitivities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Allan Smith</cp:lastModifiedBy>
  <dcterms:created xsi:type="dcterms:W3CDTF">2025-08-07T11:05:32Z</dcterms:created>
  <dcterms:modified xsi:type="dcterms:W3CDTF">2025-10-13T15:53:51Z</dcterms:modified>
</cp:coreProperties>
</file>